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<sst xmlns="http://schemas.openxmlformats.org/spreadsheetml/2006/main" count="141" uniqueCount="103">
  <si>
    <t>日期</t>
  </si>
  <si>
    <t>门店</t>
  </si>
  <si>
    <t>维修点位</t>
  </si>
  <si>
    <t>城市</t>
  </si>
  <si>
    <t>金额</t>
  </si>
  <si>
    <t>11月份按城市划分（公寓）</t>
  </si>
  <si>
    <t>宝乐居-上海宝杨路店</t>
  </si>
  <si>
    <t>1110</t>
  </si>
  <si>
    <t>上海</t>
  </si>
  <si>
    <t>在建房间量</t>
  </si>
  <si>
    <t>兼职费开销</t>
  </si>
  <si>
    <t>单方人工成本</t>
  </si>
  <si>
    <t>龙湖冠寓-天津华苑店</t>
  </si>
  <si>
    <t>221</t>
  </si>
  <si>
    <t>天津</t>
  </si>
  <si>
    <t>嘉兴</t>
  </si>
  <si>
    <t>龙湖冠寓-合肥大东门店</t>
  </si>
  <si>
    <t>716</t>
  </si>
  <si>
    <t>合肥</t>
  </si>
  <si>
    <t>南昌</t>
  </si>
  <si>
    <t>龙湖冠寓-珠海环宇店</t>
  </si>
  <si>
    <t>1005</t>
  </si>
  <si>
    <t>珠海</t>
  </si>
  <si>
    <t>宁波</t>
  </si>
  <si>
    <t>万洋（巍山）众创城</t>
  </si>
  <si>
    <t>1070</t>
  </si>
  <si>
    <t>金华</t>
  </si>
  <si>
    <t>万洋（慈溪河姆渡）众创城</t>
  </si>
  <si>
    <t>317</t>
  </si>
  <si>
    <t>慈溪</t>
  </si>
  <si>
    <t>郑州</t>
  </si>
  <si>
    <t>窝趣-中山香海店</t>
  </si>
  <si>
    <t>b511</t>
  </si>
  <si>
    <t>中山</t>
  </si>
  <si>
    <t>龙湖冠寓-宁波宁南路店</t>
  </si>
  <si>
    <t>347</t>
  </si>
  <si>
    <t>龙湖冠寓-天津友谊路店</t>
  </si>
  <si>
    <t>517</t>
  </si>
  <si>
    <t>龙湖冠寓-天津音乐学院店</t>
  </si>
  <si>
    <t>a605</t>
  </si>
  <si>
    <t>北京</t>
  </si>
  <si>
    <t>安歆公寓-南京应天大街店</t>
  </si>
  <si>
    <t>光模块坏了</t>
  </si>
  <si>
    <t>南京</t>
  </si>
  <si>
    <t>万洋（佛山南海）众创城</t>
  </si>
  <si>
    <t>3-713</t>
  </si>
  <si>
    <t>佛山</t>
  </si>
  <si>
    <t>温州</t>
  </si>
  <si>
    <t>万洋（英德）众创城</t>
  </si>
  <si>
    <t>d22-603，d22-609，b1219</t>
  </si>
  <si>
    <t>英德</t>
  </si>
  <si>
    <t>深圳</t>
  </si>
  <si>
    <t>437</t>
  </si>
  <si>
    <t>618</t>
  </si>
  <si>
    <t>总计</t>
  </si>
  <si>
    <t>万洋（慈溪周巷）众创城</t>
  </si>
  <si>
    <t>b8-721</t>
  </si>
  <si>
    <t>7-801重新布线</t>
  </si>
  <si>
    <t>11月份按城市划分（商业）</t>
  </si>
  <si>
    <t>魔方公寓-南京庄排店</t>
  </si>
  <si>
    <t>1111</t>
  </si>
  <si>
    <t>单房人工成本</t>
  </si>
  <si>
    <t>安装</t>
  </si>
  <si>
    <t>万洋（泉州南安）众创城</t>
  </si>
  <si>
    <t>22-104</t>
  </si>
  <si>
    <t>泉州</t>
  </si>
  <si>
    <t>漳州</t>
  </si>
  <si>
    <t>万洋（顺德北滘）众创城</t>
  </si>
  <si>
    <t>11-601</t>
  </si>
  <si>
    <t>顺德</t>
  </si>
  <si>
    <t>柳州</t>
  </si>
  <si>
    <t>万洋（阳江）众创城</t>
  </si>
  <si>
    <t>主路由离线</t>
  </si>
  <si>
    <t>阳江</t>
  </si>
  <si>
    <t>肥西</t>
  </si>
  <si>
    <t>万洋（博罗）众创城</t>
  </si>
  <si>
    <t>b1124，1129，1118安装</t>
  </si>
  <si>
    <t>惠州</t>
  </si>
  <si>
    <t>丽水</t>
  </si>
  <si>
    <t>万洋（鹤山古劳）众创城</t>
  </si>
  <si>
    <t>1237</t>
  </si>
  <si>
    <t>鹤山</t>
  </si>
  <si>
    <t>英红镇、英华镇</t>
  </si>
  <si>
    <t>核心外网上线</t>
  </si>
  <si>
    <t>北滘、勒流、龙江</t>
  </si>
  <si>
    <t>址山、古劳</t>
  </si>
  <si>
    <t>龙湖冠寓-宁波青创大厦店</t>
  </si>
  <si>
    <t>余姚</t>
  </si>
  <si>
    <t>黄家埠、河姆渡</t>
  </si>
  <si>
    <t>横河、掌起、周巷</t>
  </si>
  <si>
    <t>惠东、江丰博罗、博罗</t>
  </si>
  <si>
    <t>南通</t>
  </si>
  <si>
    <t>如东</t>
  </si>
  <si>
    <t>清远</t>
  </si>
  <si>
    <t>佛岗、聚宝、经开、清新</t>
  </si>
  <si>
    <t>连平</t>
  </si>
  <si>
    <t>河源</t>
  </si>
  <si>
    <t>梅州</t>
  </si>
  <si>
    <t>丰顺</t>
  </si>
  <si>
    <t>江门</t>
  </si>
  <si>
    <t>荷塘</t>
  </si>
  <si>
    <t>南安</t>
  </si>
  <si>
    <t>南马、东阳、巍山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</si>
</sst>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topLeftCell="A6" workbookViewId="0">
      <selection activeCell="E28" sqref="E9:E28"/>
    </sheetView>
  </sheetViews>
  <sheetFormatPr defaultColWidth="9.23076923076923" defaultRowHeight="16.8"/>
  <cols>
    <col min="2" max="2" width="29.6923076923077" customWidth="1"/>
    <col min="3" max="3" width="26.4615384615385" customWidth="1"/>
    <col min="4" max="4" width="6" customWidth="1"/>
    <col min="9" max="10" width="13.6153846153846" customWidth="1"/>
    <col min="11" max="11" width="16.2307692307692" customWidth="1"/>
  </cols>
  <sheetData>
    <row r="1" ht="17.6" spans="1:1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H1" s="11" t="s">
        <v>5</v>
      </c>
      <c r="I1" s="11"/>
      <c r="J1" s="11"/>
      <c r="K1" s="11"/>
    </row>
    <row r="2" ht="17.6" spans="1:11">
      <c r="A2" s="3">
        <v>45627</v>
      </c>
      <c r="B2" s="4" t="s">
        <v>6</v>
      </c>
      <c r="C2" s="5" t="s">
        <v>7</v>
      </c>
      <c r="D2" s="4" t="s">
        <v>8</v>
      </c>
      <c r="E2" s="4">
        <v>300</v>
      </c>
      <c r="H2" s="12" t="s">
        <v>3</v>
      </c>
      <c r="I2" s="12" t="s">
        <v>9</v>
      </c>
      <c r="J2" s="12" t="s">
        <v>10</v>
      </c>
      <c r="K2" s="18" t="s">
        <v>11</v>
      </c>
    </row>
    <row r="3" spans="1:11">
      <c r="A3" s="3">
        <v>45627</v>
      </c>
      <c r="B3" s="4" t="s">
        <v>12</v>
      </c>
      <c r="C3" s="5" t="s">
        <v>13</v>
      </c>
      <c r="D3" s="4" t="s">
        <v>14</v>
      </c>
      <c r="E3" s="4">
        <v>150</v>
      </c>
      <c r="H3" s="13" t="s">
        <v>15</v>
      </c>
      <c r="I3" s="13">
        <v>255</v>
      </c>
      <c r="J3" s="13">
        <f>SUMIFS(E2:E208,D2:D208,"嘉兴")</f>
        <v>0</v>
      </c>
      <c r="K3" s="19">
        <f t="shared" ref="K3:K16" si="0">J3/I3</f>
        <v>0</v>
      </c>
    </row>
    <row r="4" spans="1:11">
      <c r="A4" s="3">
        <v>45627</v>
      </c>
      <c r="B4" s="4" t="s">
        <v>16</v>
      </c>
      <c r="C4" s="5" t="s">
        <v>17</v>
      </c>
      <c r="D4" s="4" t="s">
        <v>18</v>
      </c>
      <c r="E4" s="4">
        <v>150</v>
      </c>
      <c r="H4" s="13" t="s">
        <v>19</v>
      </c>
      <c r="I4" s="13">
        <v>372</v>
      </c>
      <c r="J4" s="13">
        <f>SUMIFS(E2:E208,D2:D208,"南昌")</f>
        <v>0</v>
      </c>
      <c r="K4" s="19">
        <f t="shared" si="0"/>
        <v>0</v>
      </c>
    </row>
    <row r="5" spans="1:11">
      <c r="A5" s="3">
        <v>45627</v>
      </c>
      <c r="B5" s="4" t="s">
        <v>20</v>
      </c>
      <c r="C5" s="5" t="s">
        <v>21</v>
      </c>
      <c r="D5" s="4" t="s">
        <v>22</v>
      </c>
      <c r="E5" s="4">
        <v>150</v>
      </c>
      <c r="H5" s="13" t="s">
        <v>23</v>
      </c>
      <c r="I5" s="13">
        <v>1396</v>
      </c>
      <c r="J5" s="13">
        <f>SUMIFS(E2:E208,D2:D208,"宁波")</f>
        <v>300</v>
      </c>
      <c r="K5" s="19">
        <f t="shared" si="0"/>
        <v>0.214899713467049</v>
      </c>
    </row>
    <row r="6" spans="1:11">
      <c r="A6" s="3">
        <v>45627</v>
      </c>
      <c r="B6" s="4" t="s">
        <v>24</v>
      </c>
      <c r="C6" s="5" t="s">
        <v>25</v>
      </c>
      <c r="D6" s="4" t="s">
        <v>26</v>
      </c>
      <c r="E6" s="4">
        <v>150</v>
      </c>
      <c r="H6" s="13" t="s">
        <v>14</v>
      </c>
      <c r="I6" s="13">
        <v>886</v>
      </c>
      <c r="J6" s="13">
        <f>SUMIFS(E2:E208,D2:D208,"天津")</f>
        <v>750</v>
      </c>
      <c r="K6" s="19">
        <f t="shared" si="0"/>
        <v>0.846501128668172</v>
      </c>
    </row>
    <row r="7" spans="1:11">
      <c r="A7" s="3">
        <v>45628</v>
      </c>
      <c r="B7" s="4" t="s">
        <v>27</v>
      </c>
      <c r="C7" s="5" t="s">
        <v>28</v>
      </c>
      <c r="D7" s="4" t="s">
        <v>29</v>
      </c>
      <c r="E7" s="4">
        <v>150</v>
      </c>
      <c r="H7" s="13" t="s">
        <v>30</v>
      </c>
      <c r="I7" s="13">
        <v>1630</v>
      </c>
      <c r="J7" s="13">
        <f>SUMIFS(E2:E208,D2:D208,"郑州")</f>
        <v>0</v>
      </c>
      <c r="K7" s="19">
        <f t="shared" si="0"/>
        <v>0</v>
      </c>
    </row>
    <row r="8" spans="1:11">
      <c r="A8" s="3">
        <v>45628</v>
      </c>
      <c r="B8" s="4" t="s">
        <v>31</v>
      </c>
      <c r="C8" s="5" t="s">
        <v>32</v>
      </c>
      <c r="D8" s="4" t="s">
        <v>33</v>
      </c>
      <c r="E8" s="4">
        <v>150</v>
      </c>
      <c r="H8" s="13" t="s">
        <v>33</v>
      </c>
      <c r="I8" s="13">
        <v>356</v>
      </c>
      <c r="J8" s="13">
        <f>SUMIFS(E2:E208,D2:D208,"中山")</f>
        <v>600</v>
      </c>
      <c r="K8" s="19">
        <f t="shared" si="0"/>
        <v>1.68539325842697</v>
      </c>
    </row>
    <row r="9" spans="1:11">
      <c r="A9" s="6">
        <v>45629</v>
      </c>
      <c r="B9" s="7" t="s">
        <v>34</v>
      </c>
      <c r="C9" s="8" t="s">
        <v>35</v>
      </c>
      <c r="D9" s="7" t="s">
        <v>23</v>
      </c>
      <c r="E9" s="7">
        <v>50</v>
      </c>
      <c r="H9" s="13" t="s">
        <v>22</v>
      </c>
      <c r="I9" s="13">
        <v>497</v>
      </c>
      <c r="J9" s="13">
        <f>SUMIFS(E2:E208,D2:D208,"珠海")</f>
        <v>150</v>
      </c>
      <c r="K9" s="19">
        <f t="shared" si="0"/>
        <v>0.301810865191147</v>
      </c>
    </row>
    <row r="10" spans="1:11">
      <c r="A10" s="6">
        <v>45629</v>
      </c>
      <c r="B10" s="7" t="s">
        <v>36</v>
      </c>
      <c r="C10" s="8" t="s">
        <v>37</v>
      </c>
      <c r="D10" s="7" t="s">
        <v>14</v>
      </c>
      <c r="E10" s="7">
        <v>150</v>
      </c>
      <c r="H10" s="13" t="s">
        <v>8</v>
      </c>
      <c r="I10" s="13">
        <v>4904</v>
      </c>
      <c r="J10" s="13">
        <f>SUMIFS(E2:E208,D2:D208,"上海")</f>
        <v>300</v>
      </c>
      <c r="K10" s="19">
        <f t="shared" si="0"/>
        <v>0.0611745513866232</v>
      </c>
    </row>
    <row r="11" spans="1:11">
      <c r="A11" s="6">
        <v>45629</v>
      </c>
      <c r="B11" s="7" t="s">
        <v>38</v>
      </c>
      <c r="C11" s="8" t="s">
        <v>39</v>
      </c>
      <c r="D11" s="7" t="s">
        <v>14</v>
      </c>
      <c r="E11" s="7">
        <v>150</v>
      </c>
      <c r="H11" s="13" t="s">
        <v>40</v>
      </c>
      <c r="I11" s="13">
        <v>837</v>
      </c>
      <c r="J11" s="13">
        <f>SUMIFS(E2:E208,D2:D208,"北京")</f>
        <v>0</v>
      </c>
      <c r="K11" s="19">
        <f t="shared" si="0"/>
        <v>0</v>
      </c>
    </row>
    <row r="12" spans="1:11">
      <c r="A12" s="6">
        <v>45629</v>
      </c>
      <c r="B12" s="7" t="s">
        <v>41</v>
      </c>
      <c r="C12" s="8" t="s">
        <v>42</v>
      </c>
      <c r="D12" s="7" t="s">
        <v>43</v>
      </c>
      <c r="E12" s="7">
        <v>150</v>
      </c>
      <c r="H12" s="13" t="s">
        <v>43</v>
      </c>
      <c r="I12" s="13">
        <v>1139</v>
      </c>
      <c r="J12" s="13">
        <f>SUMIFS(E2:E208,D2:D208,"南京")</f>
        <v>300</v>
      </c>
      <c r="K12" s="19">
        <f t="shared" si="0"/>
        <v>0.263388937664618</v>
      </c>
    </row>
    <row r="13" spans="1:11">
      <c r="A13" s="6">
        <v>45629</v>
      </c>
      <c r="B13" s="7" t="s">
        <v>44</v>
      </c>
      <c r="C13" s="8" t="s">
        <v>45</v>
      </c>
      <c r="D13" s="7" t="s">
        <v>46</v>
      </c>
      <c r="E13" s="7">
        <v>150</v>
      </c>
      <c r="H13" s="14" t="s">
        <v>47</v>
      </c>
      <c r="I13" s="14">
        <v>400</v>
      </c>
      <c r="J13" s="13">
        <f>SUMIFS(E2:E208,D2:D208,"温州")</f>
        <v>0</v>
      </c>
      <c r="K13" s="19">
        <f t="shared" si="0"/>
        <v>0</v>
      </c>
    </row>
    <row r="14" spans="1:11">
      <c r="A14" s="6">
        <v>45629</v>
      </c>
      <c r="B14" s="7" t="s">
        <v>48</v>
      </c>
      <c r="C14" s="8" t="s">
        <v>49</v>
      </c>
      <c r="D14" s="7" t="s">
        <v>50</v>
      </c>
      <c r="E14" s="7">
        <v>300</v>
      </c>
      <c r="H14" s="14" t="s">
        <v>51</v>
      </c>
      <c r="I14" s="14">
        <v>6134</v>
      </c>
      <c r="J14" s="13">
        <f>SUMIFS(E2:E208,D2:D208,"深圳")</f>
        <v>0</v>
      </c>
      <c r="K14" s="19">
        <f t="shared" si="0"/>
        <v>0</v>
      </c>
    </row>
    <row r="15" spans="1:11">
      <c r="A15" s="6">
        <v>45629</v>
      </c>
      <c r="B15" s="7" t="s">
        <v>36</v>
      </c>
      <c r="C15" s="8" t="s">
        <v>52</v>
      </c>
      <c r="D15" s="7" t="s">
        <v>14</v>
      </c>
      <c r="E15" s="7">
        <v>150</v>
      </c>
      <c r="H15" s="14" t="s">
        <v>18</v>
      </c>
      <c r="I15" s="14">
        <v>4541</v>
      </c>
      <c r="J15" s="13">
        <f>SUMIFS(E2:E208,D2:D208,"合肥")</f>
        <v>150</v>
      </c>
      <c r="K15" s="19">
        <f t="shared" si="0"/>
        <v>0.0330323717242898</v>
      </c>
    </row>
    <row r="16" spans="1:11">
      <c r="A16" s="6">
        <v>45629</v>
      </c>
      <c r="B16" s="7" t="s">
        <v>38</v>
      </c>
      <c r="C16" s="8" t="s">
        <v>53</v>
      </c>
      <c r="D16" s="7" t="s">
        <v>14</v>
      </c>
      <c r="E16" s="7">
        <v>150</v>
      </c>
      <c r="H16" s="15" t="s">
        <v>54</v>
      </c>
      <c r="I16" s="15">
        <f>SUM(I3:I15)</f>
        <v>23347</v>
      </c>
      <c r="J16" s="15">
        <f>SUM(J3:J15)</f>
        <v>2550</v>
      </c>
      <c r="K16" s="20">
        <f t="shared" si="0"/>
        <v>0.109221741551377</v>
      </c>
    </row>
    <row r="17" spans="1:11">
      <c r="A17" s="6">
        <v>45629</v>
      </c>
      <c r="B17" s="7" t="s">
        <v>55</v>
      </c>
      <c r="C17" s="8" t="s">
        <v>56</v>
      </c>
      <c r="D17" s="7" t="s">
        <v>29</v>
      </c>
      <c r="E17" s="7">
        <v>150</v>
      </c>
      <c r="H17" s="16"/>
      <c r="I17" s="16"/>
      <c r="J17" s="16"/>
      <c r="K17" s="16"/>
    </row>
    <row r="18" ht="17.6" spans="1:11">
      <c r="A18" s="6">
        <v>45630</v>
      </c>
      <c r="B18" s="7" t="s">
        <v>44</v>
      </c>
      <c r="C18" s="8" t="s">
        <v>57</v>
      </c>
      <c r="D18" s="7" t="s">
        <v>46</v>
      </c>
      <c r="E18" s="7">
        <v>300</v>
      </c>
      <c r="H18" s="17" t="s">
        <v>58</v>
      </c>
      <c r="I18" s="17"/>
      <c r="J18" s="17"/>
      <c r="K18" s="17"/>
    </row>
    <row r="19" ht="17.6" spans="1:11">
      <c r="A19" s="6">
        <v>45630</v>
      </c>
      <c r="B19" s="7" t="s">
        <v>59</v>
      </c>
      <c r="C19" s="8" t="s">
        <v>60</v>
      </c>
      <c r="D19" s="7" t="s">
        <v>43</v>
      </c>
      <c r="E19" s="7">
        <v>150</v>
      </c>
      <c r="H19" s="12" t="s">
        <v>3</v>
      </c>
      <c r="I19" s="12" t="s">
        <v>9</v>
      </c>
      <c r="J19" s="12" t="s">
        <v>10</v>
      </c>
      <c r="K19" s="12" t="s">
        <v>61</v>
      </c>
    </row>
    <row r="20" spans="1:11">
      <c r="A20" s="6">
        <v>45630</v>
      </c>
      <c r="B20" s="7" t="s">
        <v>31</v>
      </c>
      <c r="C20" s="8" t="s">
        <v>62</v>
      </c>
      <c r="D20" s="7" t="s">
        <v>33</v>
      </c>
      <c r="E20" s="7">
        <v>300</v>
      </c>
      <c r="H20" s="14" t="s">
        <v>46</v>
      </c>
      <c r="I20" s="7">
        <v>427</v>
      </c>
      <c r="J20" s="7">
        <f>SUMIFS(E2:E208,D2:D208,"佛山")</f>
        <v>450</v>
      </c>
      <c r="K20" s="21">
        <f t="shared" ref="K20:K39" si="1">J20/I20</f>
        <v>1.05386416861827</v>
      </c>
    </row>
    <row r="21" spans="1:11">
      <c r="A21" s="6">
        <v>45630</v>
      </c>
      <c r="B21" s="7" t="s">
        <v>63</v>
      </c>
      <c r="C21" s="8" t="s">
        <v>64</v>
      </c>
      <c r="D21" s="7" t="s">
        <v>65</v>
      </c>
      <c r="E21" s="7">
        <v>300</v>
      </c>
      <c r="H21" s="14" t="s">
        <v>66</v>
      </c>
      <c r="I21" s="7">
        <v>137</v>
      </c>
      <c r="J21" s="7">
        <f>SUMIFS(E2:E208,D2:D208,"漳州")</f>
        <v>0</v>
      </c>
      <c r="K21" s="21">
        <f t="shared" si="1"/>
        <v>0</v>
      </c>
    </row>
    <row r="22" spans="1:11">
      <c r="A22" s="6">
        <v>45630</v>
      </c>
      <c r="B22" s="7" t="s">
        <v>67</v>
      </c>
      <c r="C22" s="8" t="s">
        <v>68</v>
      </c>
      <c r="D22" s="7" t="s">
        <v>69</v>
      </c>
      <c r="E22" s="7">
        <v>300</v>
      </c>
      <c r="H22" s="14" t="s">
        <v>70</v>
      </c>
      <c r="I22" s="7">
        <v>178</v>
      </c>
      <c r="J22" s="7">
        <f>SUMIFS(E2:E208,D2:D208,"柳州")</f>
        <v>0</v>
      </c>
      <c r="K22" s="21">
        <f t="shared" si="1"/>
        <v>0</v>
      </c>
    </row>
    <row r="23" spans="1:11">
      <c r="A23" s="6">
        <v>45630</v>
      </c>
      <c r="B23" s="7" t="s">
        <v>71</v>
      </c>
      <c r="C23" s="8" t="s">
        <v>72</v>
      </c>
      <c r="D23" s="7" t="s">
        <v>73</v>
      </c>
      <c r="E23" s="7">
        <v>50</v>
      </c>
      <c r="H23" s="14" t="s">
        <v>74</v>
      </c>
      <c r="I23" s="7">
        <v>4</v>
      </c>
      <c r="J23" s="7">
        <f>SUMIFS(E2:E208,D2:D208,"肥西")</f>
        <v>0</v>
      </c>
      <c r="K23" s="21">
        <f t="shared" si="1"/>
        <v>0</v>
      </c>
    </row>
    <row r="24" spans="1:11">
      <c r="A24" s="6">
        <v>45630</v>
      </c>
      <c r="B24" s="7" t="s">
        <v>75</v>
      </c>
      <c r="C24" s="8" t="s">
        <v>76</v>
      </c>
      <c r="D24" s="7" t="s">
        <v>77</v>
      </c>
      <c r="E24" s="7">
        <v>350</v>
      </c>
      <c r="H24" s="14" t="s">
        <v>78</v>
      </c>
      <c r="I24" s="7">
        <v>60</v>
      </c>
      <c r="J24" s="7">
        <f>SUMIFS(E2:E208,D2:D208,"丽水")</f>
        <v>0</v>
      </c>
      <c r="K24" s="21">
        <f t="shared" si="1"/>
        <v>0</v>
      </c>
    </row>
    <row r="25" spans="1:12">
      <c r="A25" s="6">
        <v>45631</v>
      </c>
      <c r="B25" s="7" t="s">
        <v>79</v>
      </c>
      <c r="C25" s="8" t="s">
        <v>80</v>
      </c>
      <c r="D25" s="7" t="s">
        <v>81</v>
      </c>
      <c r="E25" s="7">
        <v>300</v>
      </c>
      <c r="H25" s="14" t="s">
        <v>50</v>
      </c>
      <c r="I25" s="7">
        <v>250</v>
      </c>
      <c r="J25" s="7">
        <f>SUMIFS(E2:E208,D2:D208,"英德")</f>
        <v>300</v>
      </c>
      <c r="K25" s="21">
        <f t="shared" si="1"/>
        <v>1.2</v>
      </c>
      <c r="L25" t="s">
        <v>82</v>
      </c>
    </row>
    <row r="26" spans="1:12">
      <c r="A26" s="6">
        <v>45631</v>
      </c>
      <c r="B26" s="7" t="s">
        <v>31</v>
      </c>
      <c r="C26" s="8" t="s">
        <v>83</v>
      </c>
      <c r="D26" s="7" t="s">
        <v>33</v>
      </c>
      <c r="E26" s="7">
        <v>150</v>
      </c>
      <c r="H26" s="7" t="s">
        <v>69</v>
      </c>
      <c r="I26" s="7">
        <v>55</v>
      </c>
      <c r="J26" s="7">
        <f>SUMIFS(E2:E208,D2:D208,"顺德")</f>
        <v>300</v>
      </c>
      <c r="K26" s="21">
        <f t="shared" si="1"/>
        <v>5.45454545454545</v>
      </c>
      <c r="L26" t="s">
        <v>84</v>
      </c>
    </row>
    <row r="27" spans="1:12">
      <c r="A27" s="9">
        <v>45632</v>
      </c>
      <c r="B27" s="10" t="s">
        <v>34</v>
      </c>
      <c r="C27" s="10">
        <v>322</v>
      </c>
      <c r="D27" s="10" t="s">
        <v>23</v>
      </c>
      <c r="E27" s="10">
        <v>50</v>
      </c>
      <c r="H27" s="7" t="s">
        <v>81</v>
      </c>
      <c r="I27" s="7">
        <v>170</v>
      </c>
      <c r="J27" s="7">
        <f>SUMIFS(E2:E208,D2:D208,"鹤山")</f>
        <v>300</v>
      </c>
      <c r="K27" s="21">
        <f t="shared" si="1"/>
        <v>1.76470588235294</v>
      </c>
      <c r="L27" t="s">
        <v>85</v>
      </c>
    </row>
    <row r="28" spans="1:12">
      <c r="A28" s="9">
        <v>45632</v>
      </c>
      <c r="B28" s="10" t="s">
        <v>86</v>
      </c>
      <c r="C28" s="10">
        <v>1738</v>
      </c>
      <c r="D28" s="10" t="s">
        <v>23</v>
      </c>
      <c r="E28" s="10">
        <v>200</v>
      </c>
      <c r="H28" s="7" t="s">
        <v>87</v>
      </c>
      <c r="I28" s="7">
        <v>202</v>
      </c>
      <c r="J28" s="7">
        <f>SUMIFS(E2:E209,D2:D209,"余姚")</f>
        <v>0</v>
      </c>
      <c r="K28" s="21">
        <f t="shared" si="1"/>
        <v>0</v>
      </c>
      <c r="L28" t="s">
        <v>88</v>
      </c>
    </row>
    <row r="29" spans="8:12">
      <c r="H29" s="7" t="s">
        <v>29</v>
      </c>
      <c r="I29" s="7">
        <v>668</v>
      </c>
      <c r="J29" s="7">
        <f>SUMIFS(E2:E210,D2:D210,"慈溪")</f>
        <v>300</v>
      </c>
      <c r="K29" s="21">
        <f t="shared" si="1"/>
        <v>0.449101796407186</v>
      </c>
      <c r="L29" t="s">
        <v>89</v>
      </c>
    </row>
    <row r="30" spans="8:12">
      <c r="H30" s="7" t="s">
        <v>77</v>
      </c>
      <c r="I30" s="7">
        <v>371</v>
      </c>
      <c r="J30" s="7">
        <f>SUMIFS(E2:E211,D2:D211,"惠州")</f>
        <v>350</v>
      </c>
      <c r="K30" s="21">
        <f t="shared" si="1"/>
        <v>0.943396226415094</v>
      </c>
      <c r="L30" t="s">
        <v>90</v>
      </c>
    </row>
    <row r="31" spans="8:12">
      <c r="H31" s="7" t="s">
        <v>91</v>
      </c>
      <c r="I31" s="7">
        <v>82</v>
      </c>
      <c r="J31" s="7">
        <f>SUMIFS(E2:E214,D2:D214,"南通")</f>
        <v>0</v>
      </c>
      <c r="K31" s="21">
        <f>J31/I31</f>
        <v>0</v>
      </c>
      <c r="L31" t="s">
        <v>92</v>
      </c>
    </row>
    <row r="32" spans="8:12">
      <c r="H32" s="7" t="s">
        <v>93</v>
      </c>
      <c r="I32" s="7">
        <v>114</v>
      </c>
      <c r="J32" s="7">
        <f>SUMIFS(E1:E216,D1:D216,"清远")</f>
        <v>0</v>
      </c>
      <c r="K32" s="21">
        <f>J32/I32</f>
        <v>0</v>
      </c>
      <c r="L32" t="s">
        <v>94</v>
      </c>
    </row>
    <row r="33" spans="8:12">
      <c r="H33" s="7" t="s">
        <v>95</v>
      </c>
      <c r="I33" s="7">
        <v>76</v>
      </c>
      <c r="J33" s="7">
        <f>SUMIFS(E2:E217,D2:D217,"连平")</f>
        <v>0</v>
      </c>
      <c r="K33" s="21">
        <f>J33/I33</f>
        <v>0</v>
      </c>
      <c r="L33" t="s">
        <v>96</v>
      </c>
    </row>
    <row r="34" spans="8:11">
      <c r="H34" s="7" t="s">
        <v>73</v>
      </c>
      <c r="I34" s="7">
        <v>3</v>
      </c>
      <c r="J34" s="7">
        <f>SUMIFS(E3:E218,D3:D218,"阳江")</f>
        <v>50</v>
      </c>
      <c r="K34" s="21">
        <f>J34/I34</f>
        <v>16.6666666666667</v>
      </c>
    </row>
    <row r="35" spans="8:12">
      <c r="H35" s="7" t="s">
        <v>97</v>
      </c>
      <c r="I35" s="7">
        <v>0</v>
      </c>
      <c r="J35" s="7">
        <f>SUMIFS(E4:E219,D4:D219,"梅州")</f>
        <v>0</v>
      </c>
      <c r="K35" s="21" t="e">
        <f>J35/I35</f>
        <v>#DIV/0!</v>
      </c>
      <c r="L35" t="s">
        <v>98</v>
      </c>
    </row>
    <row r="36" spans="8:12">
      <c r="H36" s="7" t="s">
        <v>99</v>
      </c>
      <c r="I36" s="7">
        <v>3</v>
      </c>
      <c r="J36" s="7">
        <f>SUMIFS(E5:E220,D5:D220,"江门")</f>
        <v>0</v>
      </c>
      <c r="K36" s="21">
        <f>J36/I36</f>
        <v>0</v>
      </c>
      <c r="L36" t="s">
        <v>100</v>
      </c>
    </row>
    <row r="37" spans="8:12">
      <c r="H37" s="7" t="s">
        <v>65</v>
      </c>
      <c r="I37" s="7">
        <v>3</v>
      </c>
      <c r="J37" s="7">
        <f>SUMIFS(E6:E221,D6:D221,"泉州")</f>
        <v>300</v>
      </c>
      <c r="K37" s="21">
        <f>J37/I37</f>
        <v>100</v>
      </c>
      <c r="L37" t="s">
        <v>101</v>
      </c>
    </row>
    <row r="38" spans="8:12">
      <c r="H38" s="7" t="s">
        <v>26</v>
      </c>
      <c r="I38" s="7">
        <v>254</v>
      </c>
      <c r="J38" s="7">
        <f>SUMIFS(E2:E208,D2:D208,"金华")</f>
        <v>150</v>
      </c>
      <c r="K38" s="21">
        <f>J38/I38</f>
        <v>0.590551181102362</v>
      </c>
      <c r="L38" t="s">
        <v>102</v>
      </c>
    </row>
    <row r="39" spans="8:11">
      <c r="H39" s="15" t="s">
        <v>54</v>
      </c>
      <c r="I39" s="15">
        <f>SUM(I17:I38)</f>
        <v>3057</v>
      </c>
      <c r="J39" s="15">
        <f>SUM(J17:J38)</f>
        <v>2500</v>
      </c>
      <c r="K39" s="20">
        <f>J39/I39</f>
        <v>0.817795224075891</v>
      </c>
    </row>
  </sheetData>
  <mergeCells count="2">
    <mergeCell ref="H1:K1"/>
    <mergeCell ref="H18:K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2024-12-06T17:29:00Z</dcterms:created>
  <dcterms:modified xsi:type="dcterms:W3CDTF">2024-12-06T15:20:18Z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3CECB1D92B2F2EE8745352674C21BA4C_41</vt:lpwstr>
  </property>
  <property fmtid="{D5CDD505-2E9C-101B-9397-08002B2CF9AE}" pid="3" name="KSOProductBuildVer">
    <vt:lpwstr>2052-6.13.2.8918</vt:lpwstr>
  </property>
</Properties>
</file>