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/>
  </bookViews>
  <sheets>
    <sheet name="工资表" sheetId="1" r:id="rId1"/>
    <sheet name="项目奖金" sheetId="10" r:id="rId2"/>
    <sheet name="综合所得申报税款计算" sheetId="3" r:id="rId3"/>
    <sheet name="社保公积金" sheetId="4" state="hidden" r:id="rId4"/>
    <sheet name="社保公积金1" sheetId="5" r:id="rId5"/>
    <sheet name="考勤" sheetId="6" r:id="rId6"/>
    <sheet name="考勤 (2)不用" sheetId="9" state="hidden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0" hidden="1">工资表!$A$1:$AC$60</definedName>
    <definedName name="_xlnm._FilterDatabase" localSheetId="4" hidden="1">社保公积金1!$A$1:$U$55</definedName>
    <definedName name="_xlnm._FilterDatabase" localSheetId="5" hidden="1">考勤!$A$3:$AF$52</definedName>
    <definedName name="_xlnm.Print_Area" localSheetId="5">考勤!$A$1:$AE$14</definedName>
    <definedName name="_xlnm.Print_Area" localSheetId="0">工资表!$A$1:$AB$16</definedName>
    <definedName name="_xlnm._FilterDatabase" localSheetId="2" hidden="1">综合所得申报税款计算!#REF!</definedName>
    <definedName name="_xlnm._FilterDatabase" localSheetId="6">'考勤 (2)不用'!$A$3:$AC$36</definedName>
    <definedName name="_xlnm._FilterDatabas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User</author>
    <author>Redmi</author>
  </authors>
  <commentList>
    <comment ref="D3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只输入工龄前6位</t>
        </r>
        <r>
          <rPr>
            <sz val="10"/>
            <rFont val="宋体"/>
            <charset val="134"/>
          </rPr>
          <t xml:space="preserve">
  - 郑逸群</t>
        </r>
      </text>
    </comment>
    <comment ref="S10" authorId="1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29号转正，补发1天差额</t>
        </r>
      </text>
    </comment>
    <comment ref="C11" authorId="1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6.27入职</t>
        </r>
      </text>
    </comment>
    <comment ref="C13" authorId="0">
      <text>
        <r>
          <rPr>
            <b/>
            <sz val="9"/>
            <color rgb="FF000000"/>
            <rFont val="宋体"/>
            <charset val="134"/>
          </rPr>
          <t>Windows 用户:</t>
        </r>
        <r>
          <rPr>
            <sz val="9"/>
            <color rgb="FF000000"/>
            <rFont val="宋体"/>
            <charset val="134"/>
          </rPr>
          <t xml:space="preserve">
基础工资2010
岗位工资4890
交通补贴500
通讯补贴300
合计7700
2019/8/2</t>
        </r>
        <r>
          <rPr>
            <sz val="10"/>
            <rFont val="宋体"/>
            <charset val="134"/>
          </rPr>
          <t xml:space="preserve">
  - 郑逸群</t>
        </r>
      </text>
    </comment>
    <comment ref="C14" authorId="0">
      <text>
        <r>
          <rPr>
            <b/>
            <sz val="9"/>
            <color rgb="FF000000"/>
            <rFont val="宋体"/>
            <charset val="134"/>
          </rPr>
          <t>Windows 用户:</t>
        </r>
        <r>
          <rPr>
            <sz val="9"/>
            <color rgb="FF000000"/>
            <rFont val="宋体"/>
            <charset val="134"/>
          </rPr>
          <t xml:space="preserve">
底薪3400
绩效1000
外派1000
通讯补贴300
交通补贴200
合计5900
</t>
        </r>
        <r>
          <rPr>
            <sz val="10"/>
            <rFont val="宋体"/>
            <charset val="134"/>
          </rPr>
          <t xml:space="preserve">
  - 郑逸群</t>
        </r>
      </text>
    </comment>
    <comment ref="T22" authorId="1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宿舍费用
</t>
        </r>
      </text>
    </comment>
    <comment ref="T35" authorId="1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试用期差额
</t>
        </r>
      </text>
    </comment>
    <comment ref="T39" authorId="1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预领盖章合同30份，押金1500
</t>
        </r>
      </text>
    </comment>
    <comment ref="T49" authorId="1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发货错误，绩效扣150</t>
        </r>
      </text>
    </comment>
    <comment ref="C52" authorId="1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2024.11.11离职</t>
        </r>
      </text>
    </comment>
  </commentList>
</comments>
</file>

<file path=xl/comments2.xml><?xml version="1.0" encoding="utf-8"?>
<comments xmlns="http://schemas.openxmlformats.org/spreadsheetml/2006/main">
  <authors>
    <author>86153</author>
  </authors>
  <commentList>
    <comment ref="G19" authorId="0">
      <text>
        <r>
          <rPr>
            <b/>
            <sz val="9"/>
            <rFont val="宋体"/>
            <charset val="134"/>
          </rPr>
          <t>86153:</t>
        </r>
        <r>
          <rPr>
            <sz val="9"/>
            <rFont val="宋体"/>
            <charset val="134"/>
          </rPr>
          <t xml:space="preserve">
10月尖山湖一单10元营销奖励扣回</t>
        </r>
      </text>
    </comment>
  </commentList>
</comments>
</file>

<file path=xl/comments3.xml><?xml version="1.0" encoding="utf-8"?>
<comments xmlns="http://schemas.openxmlformats.org/spreadsheetml/2006/main">
  <authors>
    <author>Unknown User</author>
  </authors>
  <commentList>
    <comment ref="J5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6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7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8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9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10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11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12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13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14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15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16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17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18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19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20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  <comment ref="J21" authorId="0">
      <text>
        <r>
          <rPr>
            <b/>
            <sz val="9"/>
            <color rgb="FF000000"/>
            <rFont val="宋体"/>
            <charset val="134"/>
          </rPr>
          <t>yiyang:</t>
        </r>
        <r>
          <rPr>
            <sz val="9"/>
            <color rgb="FF000000"/>
            <rFont val="宋体"/>
            <charset val="134"/>
          </rPr>
          <t xml:space="preserve">
本月基数按3321.6元</t>
        </r>
        <r>
          <rPr>
            <sz val="10"/>
            <rFont val="宋体"/>
            <charset val="134"/>
          </rPr>
          <t xml:space="preserve">
  - 郑逸群</t>
        </r>
      </text>
    </comment>
  </commentList>
</comments>
</file>

<file path=xl/comments4.xml><?xml version="1.0" encoding="utf-8"?>
<comments xmlns="http://schemas.openxmlformats.org/spreadsheetml/2006/main">
  <authors>
    <author>Redmi</author>
  </authors>
  <commentList>
    <comment ref="B28" authorId="0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6.27入职</t>
        </r>
      </text>
    </comment>
  </commentList>
</comments>
</file>

<file path=xl/comments5.xml><?xml version="1.0" encoding="utf-8"?>
<comments xmlns="http://schemas.openxmlformats.org/spreadsheetml/2006/main">
  <authors>
    <author>Redmi</author>
  </authors>
  <commentList>
    <comment ref="C37" authorId="0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6.27入职</t>
        </r>
      </text>
    </comment>
    <comment ref="C38" authorId="0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6.4入职</t>
        </r>
      </text>
    </comment>
  </commentList>
</comments>
</file>

<file path=xl/comments6.xml><?xml version="1.0" encoding="utf-8"?>
<comments xmlns="http://schemas.openxmlformats.org/spreadsheetml/2006/main">
  <authors>
    <author>Unknown User</author>
  </authors>
  <commentList>
    <comment ref="E11" authorId="0">
      <text>
        <r>
          <rPr>
            <b/>
            <sz val="9"/>
            <color rgb="FF000000"/>
            <rFont val="宋体"/>
            <charset val="134"/>
          </rPr>
          <t>Windows 用户:</t>
        </r>
        <r>
          <rPr>
            <sz val="9"/>
            <color rgb="FF000000"/>
            <rFont val="宋体"/>
            <charset val="134"/>
          </rPr>
          <t xml:space="preserve">
底薪3200
岗位薪资1000
绩效薪资1800
合计6000
</t>
        </r>
        <r>
          <rPr>
            <sz val="10"/>
            <rFont val="宋体"/>
            <charset val="134"/>
          </rPr>
          <t xml:space="preserve">
  - 郑逸群</t>
        </r>
      </text>
    </comment>
    <comment ref="E12" authorId="0">
      <text>
        <r>
          <rPr>
            <b/>
            <sz val="9"/>
            <color rgb="FF000000"/>
            <rFont val="宋体"/>
            <charset val="134"/>
          </rPr>
          <t>Windows 用户:</t>
        </r>
        <r>
          <rPr>
            <sz val="9"/>
            <color rgb="FF000000"/>
            <rFont val="宋体"/>
            <charset val="134"/>
          </rPr>
          <t xml:space="preserve">
基础工资2010
岗位工资4890
合计6900
</t>
        </r>
        <r>
          <rPr>
            <sz val="10"/>
            <rFont val="宋体"/>
            <charset val="134"/>
          </rPr>
          <t xml:space="preserve">
  - 郑逸群</t>
        </r>
      </text>
    </comment>
    <comment ref="E13" authorId="0">
      <text>
        <r>
          <rPr>
            <b/>
            <sz val="9"/>
            <color rgb="FF000000"/>
            <rFont val="宋体"/>
            <charset val="134"/>
          </rPr>
          <t>Windows 用户:</t>
        </r>
        <r>
          <rPr>
            <sz val="9"/>
            <color rgb="FF000000"/>
            <rFont val="宋体"/>
            <charset val="134"/>
          </rPr>
          <t xml:space="preserve">
底薪3400
绩效1000
外派1000
合计5400
</t>
        </r>
        <r>
          <rPr>
            <sz val="10"/>
            <rFont val="宋体"/>
            <charset val="134"/>
          </rPr>
          <t xml:space="preserve">
  - 郑逸群</t>
        </r>
      </text>
    </comment>
    <comment ref="E14" authorId="0">
      <text>
        <r>
          <rPr>
            <b/>
            <sz val="9"/>
            <color rgb="FF000000"/>
            <rFont val="宋体"/>
            <charset val="134"/>
          </rPr>
          <t>Windows 用户:</t>
        </r>
        <r>
          <rPr>
            <sz val="9"/>
            <color rgb="FF000000"/>
            <rFont val="宋体"/>
            <charset val="134"/>
          </rPr>
          <t xml:space="preserve">
基本薪资2010
时长1690
绩效500
合计4200</t>
        </r>
        <r>
          <rPr>
            <sz val="10"/>
            <rFont val="宋体"/>
            <charset val="134"/>
          </rPr>
          <t xml:space="preserve">
  - 郑逸群</t>
        </r>
      </text>
    </comment>
    <comment ref="E15" authorId="0">
      <text>
        <r>
          <rPr>
            <b/>
            <sz val="9"/>
            <color rgb="FF000000"/>
            <rFont val="宋体"/>
            <charset val="134"/>
          </rPr>
          <t>Windows 用户:</t>
        </r>
        <r>
          <rPr>
            <sz val="9"/>
            <color rgb="FF000000"/>
            <rFont val="宋体"/>
            <charset val="134"/>
          </rPr>
          <t xml:space="preserve">
基本3500
</t>
        </r>
        <r>
          <rPr>
            <sz val="10"/>
            <rFont val="宋体"/>
            <charset val="134"/>
          </rPr>
          <t xml:space="preserve">
  - 郑逸群</t>
        </r>
      </text>
    </comment>
  </commentList>
</comments>
</file>

<file path=xl/sharedStrings.xml><?xml version="1.0" encoding="utf-8"?>
<sst xmlns="http://schemas.openxmlformats.org/spreadsheetml/2006/main" count="1924" uniqueCount="526">
  <si>
    <t>备注：灰色为离职人员，黄色为新入职人员，绿色为兼职人员，蓝色为转正、转岗、调薪</t>
  </si>
  <si>
    <t>浙江翼扬网络科技有限公司2024年11月工资表</t>
  </si>
  <si>
    <t>序号</t>
  </si>
  <si>
    <t>部门</t>
  </si>
  <si>
    <t>姓名</t>
  </si>
  <si>
    <t>入职时间</t>
  </si>
  <si>
    <t>手机号</t>
  </si>
  <si>
    <t>身份证号码</t>
  </si>
  <si>
    <t>银行卡号</t>
  </si>
  <si>
    <t>开户行</t>
  </si>
  <si>
    <t>基础工资</t>
  </si>
  <si>
    <t>岗位工资</t>
  </si>
  <si>
    <t>绩效</t>
  </si>
  <si>
    <t>通讯补贴</t>
  </si>
  <si>
    <t>加班时长补贴</t>
  </si>
  <si>
    <t>交通补贴</t>
  </si>
  <si>
    <t>学历</t>
  </si>
  <si>
    <t>工龄</t>
  </si>
  <si>
    <t>加班工资</t>
  </si>
  <si>
    <t>奖金</t>
  </si>
  <si>
    <t>其他补贴</t>
  </si>
  <si>
    <t>其他扣款</t>
  </si>
  <si>
    <t>考勤扣款</t>
  </si>
  <si>
    <t>应发合计</t>
  </si>
  <si>
    <t>社保扣款</t>
  </si>
  <si>
    <t>社保补缴</t>
  </si>
  <si>
    <t>公积金扣款</t>
  </si>
  <si>
    <t>水电费</t>
  </si>
  <si>
    <t>个税扣款</t>
  </si>
  <si>
    <t>银行实发</t>
  </si>
  <si>
    <t>总经办</t>
  </si>
  <si>
    <t>陶耀斌</t>
  </si>
  <si>
    <t>421127199106034715</t>
  </si>
  <si>
    <t>6212261202020647369</t>
  </si>
  <si>
    <t>工行艮山支行</t>
  </si>
  <si>
    <t>彭小芹</t>
  </si>
  <si>
    <t>422827199008101442</t>
  </si>
  <si>
    <t>623061571017902565</t>
  </si>
  <si>
    <t>杭州银行九堡支行</t>
  </si>
  <si>
    <t>李海美</t>
  </si>
  <si>
    <t>332528196605034641</t>
  </si>
  <si>
    <t>6214685060854913</t>
  </si>
  <si>
    <t>北京银行</t>
  </si>
  <si>
    <t>王丽琴</t>
  </si>
  <si>
    <t>421127198902070843</t>
  </si>
  <si>
    <t>6230910199087977324</t>
  </si>
  <si>
    <t>杭州联合银行笕桥支行</t>
  </si>
  <si>
    <t>销售部</t>
  </si>
  <si>
    <t>陶耀文</t>
  </si>
  <si>
    <t>421127198712014736</t>
  </si>
  <si>
    <t>6212261202020550050</t>
  </si>
  <si>
    <t>工行东新支行</t>
  </si>
  <si>
    <t>财务部</t>
  </si>
  <si>
    <t>金丽萍</t>
  </si>
  <si>
    <t>622301198003200849</t>
  </si>
  <si>
    <t>6228580199074131466</t>
  </si>
  <si>
    <t>杭州联合银行</t>
  </si>
  <si>
    <t>杨紫艺</t>
  </si>
  <si>
    <t>362424199911095424</t>
  </si>
  <si>
    <t>6230910199178670739</t>
  </si>
  <si>
    <t>杭州联合银行石祥支行</t>
  </si>
  <si>
    <t>肖奕</t>
  </si>
  <si>
    <t>430525200006269344</t>
  </si>
  <si>
    <t>6230910199176967038</t>
  </si>
  <si>
    <t>屠海霞</t>
  </si>
  <si>
    <t>330226199702036561</t>
  </si>
  <si>
    <t>6230910199150663132</t>
  </si>
  <si>
    <t>工程部</t>
  </si>
  <si>
    <t>余峰</t>
  </si>
  <si>
    <t>362325198407262955</t>
  </si>
  <si>
    <t>6230910199086451909</t>
  </si>
  <si>
    <t>廖玉苗</t>
  </si>
  <si>
    <t>422802199104072111</t>
  </si>
  <si>
    <t>6230910199102145659</t>
  </si>
  <si>
    <t>杭州联合银行石桥支行</t>
  </si>
  <si>
    <t>周蒙达</t>
  </si>
  <si>
    <t>140427200112270814</t>
  </si>
  <si>
    <t>6230910199150605356</t>
  </si>
  <si>
    <t>赖翔</t>
  </si>
  <si>
    <t>360781199903061031</t>
  </si>
  <si>
    <t>6230910199156484079</t>
  </si>
  <si>
    <t>黄熙文</t>
  </si>
  <si>
    <t>15270743879</t>
  </si>
  <si>
    <t>360781200205262931</t>
  </si>
  <si>
    <t>杭州联合银行拱墅支行</t>
  </si>
  <si>
    <t>杨磊</t>
  </si>
  <si>
    <t>342423199512147178</t>
  </si>
  <si>
    <t>6217993610023076036</t>
  </si>
  <si>
    <t>中国邮政银行</t>
  </si>
  <si>
    <t/>
  </si>
  <si>
    <t>姚晨阳</t>
  </si>
  <si>
    <t>330109200502172116</t>
  </si>
  <si>
    <t>6230910199167394937</t>
  </si>
  <si>
    <t>柏涛</t>
  </si>
  <si>
    <t>431124200408194210</t>
  </si>
  <si>
    <t>6230910199167394994</t>
  </si>
  <si>
    <t>杭州联合银行（石祥支行）</t>
  </si>
  <si>
    <t>祝如松</t>
  </si>
  <si>
    <t>231102199005180411</t>
  </si>
  <si>
    <t>6230910199128475882</t>
  </si>
  <si>
    <t>李克诚</t>
  </si>
  <si>
    <t>421003197403181513</t>
  </si>
  <si>
    <t>6230910199171775758</t>
  </si>
  <si>
    <t>杨璐</t>
  </si>
  <si>
    <t>330182199107232416</t>
  </si>
  <si>
    <t>翟洪权</t>
  </si>
  <si>
    <t>230122199006020318</t>
  </si>
  <si>
    <t>张坪</t>
  </si>
  <si>
    <t>433127199201021211</t>
  </si>
  <si>
    <t>6230910199178543738</t>
  </si>
  <si>
    <t>郭晓锋</t>
  </si>
  <si>
    <t>450223200409244031</t>
  </si>
  <si>
    <t>6230 9101 9917 8720 310</t>
  </si>
  <si>
    <t>杭州联合银行(古荡支行)</t>
  </si>
  <si>
    <t>贺振</t>
  </si>
  <si>
    <t>370405200201071010</t>
  </si>
  <si>
    <t>6230910199181546066</t>
  </si>
  <si>
    <t>黎云聪</t>
  </si>
  <si>
    <t>429001200306077430</t>
  </si>
  <si>
    <t>6230910199181768074</t>
  </si>
  <si>
    <t>孙红主</t>
  </si>
  <si>
    <t>340823198801086119</t>
  </si>
  <si>
    <t>6230910199181742624</t>
  </si>
  <si>
    <t>杭州联合银行康桥支行</t>
  </si>
  <si>
    <t>章杰</t>
  </si>
  <si>
    <t>330105198311161013</t>
  </si>
  <si>
    <t>6230910199167152087</t>
  </si>
  <si>
    <t>石桥支行</t>
  </si>
  <si>
    <t>人事行政部</t>
  </si>
  <si>
    <t>姜泽蓬</t>
  </si>
  <si>
    <t>330881199710183913</t>
  </si>
  <si>
    <t>6230910199176821821</t>
  </si>
  <si>
    <t>杭州联合银行（田园支行）</t>
  </si>
  <si>
    <t>袁彩云</t>
  </si>
  <si>
    <t>410481199307074029</t>
  </si>
  <si>
    <t>6230910199167152004</t>
  </si>
  <si>
    <t>达钰洁</t>
  </si>
  <si>
    <t>620102199903152422</t>
  </si>
  <si>
    <t>6230910199159576269</t>
  </si>
  <si>
    <t>蔡文姬</t>
  </si>
  <si>
    <t>511011199905172829</t>
  </si>
  <si>
    <t>6230910199156254704</t>
  </si>
  <si>
    <t>杭州联合银行祥符支行</t>
  </si>
  <si>
    <t>供应管理部</t>
  </si>
  <si>
    <t>赵小伟</t>
  </si>
  <si>
    <t>130434199602256018</t>
  </si>
  <si>
    <t>6230910199176970800</t>
  </si>
  <si>
    <t>杭州联合银行（市场专营支行）</t>
  </si>
  <si>
    <t>刘依龙</t>
  </si>
  <si>
    <t>360313200007092013</t>
  </si>
  <si>
    <t>6230910199171656115</t>
  </si>
  <si>
    <t>浙江农商联合银行石祥支行</t>
  </si>
  <si>
    <t>市场营销部</t>
  </si>
  <si>
    <t>潘俊儒</t>
  </si>
  <si>
    <t>320311199006177319</t>
  </si>
  <si>
    <t>6230910199178625774</t>
  </si>
  <si>
    <t>孙俊彦</t>
  </si>
  <si>
    <t>420303199402102013</t>
  </si>
  <si>
    <t>汤凯</t>
  </si>
  <si>
    <t>421127199202014757</t>
  </si>
  <si>
    <t>6212261202030734892</t>
  </si>
  <si>
    <t>工商银行杭州建国北路支行</t>
  </si>
  <si>
    <t>伍江山</t>
  </si>
  <si>
    <t>430523198606187614</t>
  </si>
  <si>
    <t>6230910199176966774</t>
  </si>
  <si>
    <t>客服部</t>
  </si>
  <si>
    <t>余晶晶</t>
  </si>
  <si>
    <t>341022199704060721</t>
  </si>
  <si>
    <t>6230910199159131214</t>
  </si>
  <si>
    <t>孙倩</t>
  </si>
  <si>
    <t>610321199410273128</t>
  </si>
  <si>
    <t>6230910199171655877</t>
  </si>
  <si>
    <t>吴文凯</t>
  </si>
  <si>
    <t>331024200111183554</t>
  </si>
  <si>
    <t>6230910199171655869</t>
  </si>
  <si>
    <t>汪雪琴</t>
  </si>
  <si>
    <t>411525200212264824</t>
  </si>
  <si>
    <t>6230910199171775790</t>
  </si>
  <si>
    <t>齐蔓青</t>
  </si>
  <si>
    <t>610723200208216824</t>
  </si>
  <si>
    <t>邹理国</t>
  </si>
  <si>
    <t>511133199509300036</t>
  </si>
  <si>
    <t xml:space="preserve">
6230910199176736078</t>
  </si>
  <si>
    <t>刘玮</t>
  </si>
  <si>
    <t xml:space="preserve">
330127198710046838</t>
  </si>
  <si>
    <t xml:space="preserve">
6230910199101164743</t>
  </si>
  <si>
    <t>杭州联合银行（解放路支行）</t>
  </si>
  <si>
    <t>小计</t>
  </si>
  <si>
    <t>研发部</t>
  </si>
  <si>
    <t>彭碧茂</t>
  </si>
  <si>
    <t>42282719930423141X</t>
  </si>
  <si>
    <t>6226227712933609</t>
  </si>
  <si>
    <t>杨高飞</t>
  </si>
  <si>
    <t>412726198703120479</t>
  </si>
  <si>
    <t>6230910199131601599</t>
  </si>
  <si>
    <t>杭州联合银行九堡支行</t>
  </si>
  <si>
    <t>严欣琳</t>
  </si>
  <si>
    <t>420625200008056223</t>
  </si>
  <si>
    <t>6230910199153810417</t>
  </si>
  <si>
    <t>邵相文</t>
  </si>
  <si>
    <t>411424200210260537</t>
  </si>
  <si>
    <t>6230910199178770653</t>
  </si>
  <si>
    <t>郑磊</t>
  </si>
  <si>
    <t>412724200307303318</t>
  </si>
  <si>
    <t>6230910199178498131</t>
  </si>
  <si>
    <t>刘榕攀</t>
  </si>
  <si>
    <t>360321200010266010</t>
  </si>
  <si>
    <t>6230910199176560916</t>
  </si>
  <si>
    <t>杭州联合银行新世纪支行</t>
  </si>
  <si>
    <t>肖添赢</t>
  </si>
  <si>
    <t>320684199504280022</t>
  </si>
  <si>
    <t>6230910199102181076</t>
  </si>
  <si>
    <t>谢江</t>
  </si>
  <si>
    <t>500236200010073417</t>
  </si>
  <si>
    <t>6230910199029117468</t>
  </si>
  <si>
    <t>王忠江</t>
  </si>
  <si>
    <t>330381199912164211</t>
  </si>
  <si>
    <t>6230910199150513634</t>
  </si>
  <si>
    <t>湖墅支行</t>
  </si>
  <si>
    <t>潘琳玲</t>
  </si>
  <si>
    <t>332528198907244221</t>
  </si>
  <si>
    <t>6230910199086452006</t>
  </si>
  <si>
    <t>合计</t>
  </si>
  <si>
    <t>2024/11/1
周五</t>
  </si>
  <si>
    <t>2024/11/2
周六</t>
  </si>
  <si>
    <t>2024/11/3
周日</t>
  </si>
  <si>
    <t>2024/11/4
周一</t>
  </si>
  <si>
    <t>2024/11/5
周二</t>
  </si>
  <si>
    <t>2024/11/6
周三</t>
  </si>
  <si>
    <t>2024/11/7
周四</t>
  </si>
  <si>
    <t>2024/11/8
周五</t>
  </si>
  <si>
    <t>2024/11/9
周六</t>
  </si>
  <si>
    <t>2024/11/10
周日</t>
  </si>
  <si>
    <t>2024/11/11
周一</t>
  </si>
  <si>
    <t>2024/11/12
周二</t>
  </si>
  <si>
    <t>2024/11/13
周三</t>
  </si>
  <si>
    <t>2024/11/14
周四</t>
  </si>
  <si>
    <t>2024/11/15
周五</t>
  </si>
  <si>
    <t>2024/11/16
周六</t>
  </si>
  <si>
    <t>2024/11/17
周日</t>
  </si>
  <si>
    <t>2024/11/18
周一</t>
  </si>
  <si>
    <t>2024/11/19
周二</t>
  </si>
  <si>
    <t>2024/11/20
周三</t>
  </si>
  <si>
    <t>2024/11/21
周四</t>
  </si>
  <si>
    <t>2024/11/22
周五</t>
  </si>
  <si>
    <t>2024/11/23
周六</t>
  </si>
  <si>
    <t>2024/11/24
周日</t>
  </si>
  <si>
    <t>2024/11/25
周一</t>
  </si>
  <si>
    <t>2024/11/26
周二</t>
  </si>
  <si>
    <t>2024/11/27
周三</t>
  </si>
  <si>
    <t>2024/11/28
周四</t>
  </si>
  <si>
    <t>2024/11/29
周五</t>
  </si>
  <si>
    <t>2024/11/30
周六</t>
  </si>
  <si>
    <t>中班</t>
  </si>
  <si>
    <t>夜班</t>
  </si>
  <si>
    <t>单双休班次</t>
  </si>
  <si>
    <t>客服中班12点</t>
  </si>
  <si>
    <t>休</t>
  </si>
  <si>
    <t>客服晚班1</t>
  </si>
  <si>
    <t>中班12点到21点</t>
  </si>
  <si>
    <t>晚班16点到24点</t>
  </si>
  <si>
    <t>11月客服部KPI得分</t>
  </si>
  <si>
    <t>11月营销奖励</t>
  </si>
  <si>
    <t>11月考试</t>
  </si>
  <si>
    <t>岗位</t>
  </si>
  <si>
    <t>员工</t>
  </si>
  <si>
    <t>得分</t>
  </si>
  <si>
    <t>营销人员</t>
  </si>
  <si>
    <t>奖励（元）</t>
  </si>
  <si>
    <t>客服人员</t>
  </si>
  <si>
    <t>质培人员</t>
  </si>
  <si>
    <t>10月技术部KPI得分</t>
  </si>
  <si>
    <t>10月管理岗KPI得分</t>
  </si>
  <si>
    <t>技术专员</t>
  </si>
  <si>
    <t>工程部总监</t>
  </si>
  <si>
    <t>客服部主管</t>
  </si>
  <si>
    <t>技术部主管</t>
  </si>
  <si>
    <t>月份</t>
  </si>
  <si>
    <t>客户名称</t>
  </si>
  <si>
    <t>房间数</t>
  </si>
  <si>
    <t>项目类型</t>
  </si>
  <si>
    <t>预计工期（天）</t>
  </si>
  <si>
    <t>实际工期</t>
  </si>
  <si>
    <t>工时系数</t>
  </si>
  <si>
    <t>折算比率</t>
  </si>
  <si>
    <t>房间光猫切换率</t>
  </si>
  <si>
    <t>项目奖金</t>
  </si>
  <si>
    <t>备注</t>
  </si>
  <si>
    <t>11月</t>
  </si>
  <si>
    <t>杭州艾咖酒店式公寓</t>
  </si>
  <si>
    <t>否</t>
  </si>
  <si>
    <t>窝趣-广州龙地物流信息港</t>
  </si>
  <si>
    <t>是</t>
  </si>
  <si>
    <t>窝趣-苏州亨通数云网智产业园店</t>
  </si>
  <si>
    <t>越秀-广州星悦峯</t>
  </si>
  <si>
    <t>窝趣-深圳万达店</t>
  </si>
  <si>
    <t>泊寓-西安边家村店</t>
  </si>
  <si>
    <t>龙湖冠寓-成都星悦荟二期</t>
  </si>
  <si>
    <t>宽寓-西安紫薇西棠</t>
  </si>
  <si>
    <t>/</t>
  </si>
  <si>
    <t>卓客公寓-武汉余家头店4#3-6F</t>
  </si>
  <si>
    <t>万洋（浏阳）众创城</t>
  </si>
  <si>
    <t>二类项目</t>
  </si>
  <si>
    <t>已具备商务进场条件</t>
  </si>
  <si>
    <t>万洋（聚宝）众创城</t>
  </si>
  <si>
    <t>万洋（佛岗）众创城</t>
  </si>
  <si>
    <t>万洋（阳江）众创城</t>
  </si>
  <si>
    <t>天心天思-中国温州安全应急产业园一期</t>
  </si>
  <si>
    <t>天心天思-中国温州安全应急产业园二期</t>
  </si>
  <si>
    <t>万洋（重化）众创城</t>
  </si>
  <si>
    <t>万洋（清远经开）众创城</t>
  </si>
  <si>
    <t>万洋（连平河源）众创城</t>
  </si>
  <si>
    <t>顺德北滘万洋众创城1区2栋</t>
  </si>
  <si>
    <t>基太思（广东）智能科技有限公司弱电监控安装</t>
  </si>
  <si>
    <t>订单总金额32000</t>
  </si>
  <si>
    <t>成本19078.785</t>
  </si>
  <si>
    <t>阳江市阳江万洋众创城A8区45栋</t>
  </si>
  <si>
    <t>东莞厚街新云浪五金有限公司</t>
  </si>
  <si>
    <t>订单总金额11496.42</t>
  </si>
  <si>
    <t>成本6993.15</t>
  </si>
  <si>
    <t>顺德北滘万洋众创城11号楼6层</t>
  </si>
  <si>
    <t>谢增友</t>
  </si>
  <si>
    <t>订单总金额2708</t>
  </si>
  <si>
    <t>多项目统一发货，无明确登记</t>
  </si>
  <si>
    <t>工程部周报情况</t>
  </si>
  <si>
    <t>工程部11月项目奖金</t>
  </si>
  <si>
    <t>人员</t>
  </si>
  <si>
    <t>未提交次数</t>
  </si>
  <si>
    <t>提交率</t>
  </si>
  <si>
    <t>惩罚-</t>
  </si>
  <si>
    <t>扣除（元）</t>
  </si>
  <si>
    <t>公寓项目奖金</t>
  </si>
  <si>
    <t>商业项目奖金</t>
  </si>
  <si>
    <t>黄培豪</t>
  </si>
  <si>
    <t>颜煌碧</t>
  </si>
  <si>
    <t>郭晓峰</t>
  </si>
  <si>
    <t>罗艳刚</t>
  </si>
  <si>
    <t>潘洪波</t>
  </si>
  <si>
    <t>罗勇军</t>
  </si>
  <si>
    <t>李龙剑</t>
  </si>
  <si>
    <t>张宸</t>
  </si>
  <si>
    <t>朱家银</t>
  </si>
  <si>
    <t>商务部10月份奖金</t>
  </si>
  <si>
    <t>团队</t>
  </si>
  <si>
    <t>商务人员</t>
  </si>
  <si>
    <t>11月订单回款</t>
  </si>
  <si>
    <t>10月订单回款</t>
  </si>
  <si>
    <t>弱电</t>
  </si>
  <si>
    <t>弱电成本</t>
  </si>
  <si>
    <t>公寓新签</t>
  </si>
  <si>
    <t>公寓续费</t>
  </si>
  <si>
    <t>退费</t>
  </si>
  <si>
    <t>个人提成</t>
  </si>
  <si>
    <t>团队提成</t>
  </si>
  <si>
    <t>总提成合计</t>
  </si>
  <si>
    <t>重庆团队</t>
  </si>
  <si>
    <t>袁文满</t>
  </si>
  <si>
    <t>冉沁悦</t>
  </si>
  <si>
    <t>张玉迪</t>
  </si>
  <si>
    <t>李银港</t>
  </si>
  <si>
    <t>万洋团队</t>
  </si>
  <si>
    <t>黄耿城</t>
  </si>
  <si>
    <t>罗德富</t>
  </si>
  <si>
    <t>公寓板块</t>
  </si>
  <si>
    <t>工号</t>
  </si>
  <si>
    <t>证件类型</t>
  </si>
  <si>
    <t>证件号码</t>
  </si>
  <si>
    <t>税款所属期起</t>
  </si>
  <si>
    <t>税款所属期止</t>
  </si>
  <si>
    <t>所得项目</t>
  </si>
  <si>
    <t>本期收入</t>
  </si>
  <si>
    <t>本期费用</t>
  </si>
  <si>
    <t>本期免税收入</t>
  </si>
  <si>
    <t>本期基本养老保险费</t>
  </si>
  <si>
    <t>本期基本医疗保险费</t>
  </si>
  <si>
    <t>本期失业保险费</t>
  </si>
  <si>
    <t>本期住房公积金</t>
  </si>
  <si>
    <t>本期企业(职业)年金</t>
  </si>
  <si>
    <t>本期商业健康保险费</t>
  </si>
  <si>
    <t>本期税延养老保险费</t>
  </si>
  <si>
    <t>本期其他扣除(其他)</t>
  </si>
  <si>
    <t>累计收入额</t>
  </si>
  <si>
    <t>累计免税收入</t>
  </si>
  <si>
    <t>累计减除费用</t>
  </si>
  <si>
    <t>累计专项扣除</t>
  </si>
  <si>
    <t>累计子女教育支出扣除</t>
  </si>
  <si>
    <t>累计继续教育支出扣除</t>
  </si>
  <si>
    <t>累计住房贷款利息支出扣除</t>
  </si>
  <si>
    <t>累计住房租金支出扣除</t>
  </si>
  <si>
    <t>累计赡养老人支出扣除</t>
  </si>
  <si>
    <t>累计3岁以下婴幼儿照护</t>
  </si>
  <si>
    <t>累计个人养老金</t>
  </si>
  <si>
    <t>累计其他扣除</t>
  </si>
  <si>
    <t>累计准予扣除的捐赠</t>
  </si>
  <si>
    <t>其他单位累计收入</t>
  </si>
  <si>
    <t>其他单位累计扣除</t>
  </si>
  <si>
    <t>其他单位累计减免税额</t>
  </si>
  <si>
    <t>其他单位累计已缴税额</t>
  </si>
  <si>
    <t>累计应纳税所得额</t>
  </si>
  <si>
    <t>税率</t>
  </si>
  <si>
    <t>速算扣除数</t>
  </si>
  <si>
    <t>累计应纳税额</t>
  </si>
  <si>
    <t>累计减免税额</t>
  </si>
  <si>
    <t>累计应扣缴税额</t>
  </si>
  <si>
    <t>已缴税额</t>
  </si>
  <si>
    <t>应补(退)税额</t>
  </si>
  <si>
    <t>居民身份证</t>
  </si>
  <si>
    <t>2024-11-01</t>
  </si>
  <si>
    <t>2024-11-30</t>
  </si>
  <si>
    <t>正常工资薪金</t>
  </si>
  <si>
    <t>330127198710046838</t>
  </si>
  <si>
    <t>上年各月均有申报且全年收入不超过6万元</t>
  </si>
  <si>
    <t>浙江翼扬网络科技有限公司社保费用表</t>
  </si>
  <si>
    <t>身份证</t>
  </si>
  <si>
    <t>参保日期</t>
  </si>
  <si>
    <t>个人缴费工资</t>
  </si>
  <si>
    <t>用工类型</t>
  </si>
  <si>
    <t>代扣项目</t>
  </si>
  <si>
    <t>单位合计</t>
  </si>
  <si>
    <t>个人合计</t>
  </si>
  <si>
    <t>公积金</t>
  </si>
  <si>
    <t>养老保险</t>
  </si>
  <si>
    <t>基本医疗保险</t>
  </si>
  <si>
    <t>失业保险</t>
  </si>
  <si>
    <t>工伤保险
0.2%</t>
  </si>
  <si>
    <t>单位14%</t>
  </si>
  <si>
    <t>个人8%</t>
  </si>
  <si>
    <t>单位9.9%</t>
  </si>
  <si>
    <t>个人2%</t>
  </si>
  <si>
    <t>单位0.5%</t>
  </si>
  <si>
    <t>个人0.5%</t>
  </si>
  <si>
    <t>个人12%</t>
  </si>
  <si>
    <t>单位12%</t>
  </si>
  <si>
    <t>3957</t>
  </si>
  <si>
    <t>外地农村（省外）</t>
  </si>
  <si>
    <t>201804</t>
  </si>
  <si>
    <t>201606</t>
  </si>
  <si>
    <t>汪启军</t>
  </si>
  <si>
    <t>330824198212070914</t>
  </si>
  <si>
    <t>本地城镇（主城区）</t>
  </si>
  <si>
    <t>马遥</t>
  </si>
  <si>
    <t>410403198912015613</t>
  </si>
  <si>
    <t>周继燕</t>
  </si>
  <si>
    <t>33252719841113222X</t>
  </si>
  <si>
    <t>周文娇</t>
  </si>
  <si>
    <t>’320481199612260846</t>
  </si>
  <si>
    <t>杨燕</t>
  </si>
  <si>
    <t>330523199305025268</t>
  </si>
  <si>
    <t>外地农村（省内）</t>
  </si>
  <si>
    <t>201703</t>
  </si>
  <si>
    <t>杨树</t>
  </si>
  <si>
    <t>422802198407285451</t>
  </si>
  <si>
    <t>外地城镇（省外）</t>
  </si>
  <si>
    <t>彭浩钰</t>
  </si>
  <si>
    <t>360123199708241911</t>
  </si>
  <si>
    <t>金晓莉</t>
  </si>
  <si>
    <t>330182199101014362</t>
  </si>
  <si>
    <t>方观富</t>
  </si>
  <si>
    <t>421123199303175000</t>
  </si>
  <si>
    <t>叶万里</t>
  </si>
  <si>
    <t>‘342623199711241416</t>
  </si>
  <si>
    <t>江彬超</t>
  </si>
  <si>
    <t xml:space="preserve">   </t>
  </si>
  <si>
    <t>单位社保费职工全险种申报明细</t>
  </si>
  <si>
    <t>费款所属期：</t>
  </si>
  <si>
    <t>2024-011</t>
  </si>
  <si>
    <t>主管税务机关：</t>
  </si>
  <si>
    <t>国家税务总局杭州市拱墅区税务局</t>
  </si>
  <si>
    <t>单位（金额）：元</t>
  </si>
  <si>
    <t>基本养老应缴费额</t>
  </si>
  <si>
    <t>机关养老应缴费额</t>
  </si>
  <si>
    <t>失业应缴费额</t>
  </si>
  <si>
    <t>工伤应缴费额</t>
  </si>
  <si>
    <t>基本医疗应缴费额</t>
  </si>
  <si>
    <t>个人部分合计</t>
  </si>
  <si>
    <t>单位部分合计</t>
  </si>
  <si>
    <t>单位部分</t>
  </si>
  <si>
    <t>个人部分</t>
  </si>
  <si>
    <t>技术部</t>
  </si>
  <si>
    <t>2024年9月考勤表</t>
  </si>
  <si>
    <t>备注说明</t>
  </si>
  <si>
    <t>入职日期</t>
  </si>
  <si>
    <t>工资基数</t>
  </si>
  <si>
    <t>应出勤天数</t>
  </si>
  <si>
    <t>实际出勤天数</t>
  </si>
  <si>
    <t>迟到/早退次数</t>
  </si>
  <si>
    <t>扣款</t>
  </si>
  <si>
    <t>缺卡次数</t>
  </si>
  <si>
    <t>事假</t>
  </si>
  <si>
    <t>病假</t>
  </si>
  <si>
    <t>旷工</t>
  </si>
  <si>
    <t>缺勤</t>
  </si>
  <si>
    <t>扣款合计</t>
  </si>
  <si>
    <t>全勤奖</t>
  </si>
  <si>
    <t>加班</t>
  </si>
  <si>
    <t>调休/年假</t>
  </si>
  <si>
    <t>t&lt;10min</t>
  </si>
  <si>
    <t>10min≤t&lt;30min</t>
  </si>
  <si>
    <t>30min≤t&lt;60min</t>
  </si>
  <si>
    <t>t≥60min</t>
  </si>
  <si>
    <t>上班         （次数）</t>
  </si>
  <si>
    <t>下班（次数）</t>
  </si>
  <si>
    <t>天数</t>
  </si>
  <si>
    <t>2022年7月考勤表</t>
  </si>
  <si>
    <t>211101001</t>
  </si>
  <si>
    <t>辛菡芬</t>
  </si>
  <si>
    <t>行政办公室</t>
  </si>
  <si>
    <t>网络运维部</t>
  </si>
  <si>
    <t>余锋</t>
  </si>
  <si>
    <t>陈新运</t>
  </si>
  <si>
    <t>陈忠林</t>
  </si>
  <si>
    <t>仓库</t>
  </si>
  <si>
    <t>王嘉玮</t>
  </si>
  <si>
    <t>邱琳</t>
  </si>
  <si>
    <t>行政部</t>
  </si>
  <si>
    <t>李伟</t>
  </si>
  <si>
    <t>何涛</t>
  </si>
  <si>
    <t>黎阳</t>
  </si>
  <si>
    <t>李超</t>
  </si>
  <si>
    <t>李纪辉</t>
  </si>
  <si>
    <t>练家乐</t>
  </si>
  <si>
    <t>刘万兴</t>
  </si>
  <si>
    <t>吴桐宇</t>
  </si>
  <si>
    <t>许永道</t>
  </si>
  <si>
    <t>尹其强</t>
  </si>
  <si>
    <t>董心茹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</si>
</sst>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(* #,##0.00_);_(* \(#,##0.00\);_(* &quot;-&quot;??_);_(@_)"/>
    <numFmt numFmtId="178" formatCode="0.00_ "/>
    <numFmt numFmtId="179" formatCode="0.000_ "/>
    <numFmt numFmtId="180" formatCode="yyyy\-mm\-dd;@"/>
    <numFmt numFmtId="181" formatCode="0_);[Red]\(0\)"/>
    <numFmt numFmtId="182" formatCode="yyyy\-mm\-dd"/>
    <numFmt numFmtId="183" formatCode="yyyy/mm/dd"/>
    <numFmt numFmtId="184" formatCode="0.00_);[Red]\(0.00\)"/>
    <numFmt numFmtId="185" formatCode="0.00_);\(0.00\)"/>
    <numFmt numFmtId="186" formatCode="0.0_ "/>
    <numFmt numFmtId="187" formatCode="#,##0.00_ "/>
  </numFmts>
  <fonts count="65">
    <font>
      <sz val="12"/>
      <color theme="1"/>
      <name val="等线"/>
      <charset val="134"/>
      <scheme val="minor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10"/>
      <color rgb="FFFFFF00"/>
      <name val="微软雅黑"/>
      <charset val="134"/>
    </font>
    <font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9"/>
      <color rgb="FF000000"/>
      <name val="微软雅黑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4"/>
      <color rgb="FF000000"/>
      <name val="仿宋_GB2312"/>
      <charset val="134"/>
    </font>
    <font>
      <sz val="11"/>
      <color rgb="FF000000"/>
      <name val="等线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color rgb="FFFF0000"/>
      <name val="宋体"/>
      <charset val="134"/>
    </font>
    <font>
      <sz val="10"/>
      <color rgb="FF7030A0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微软雅黑"/>
      <charset val="134"/>
    </font>
    <font>
      <sz val="12"/>
      <name val="等线"/>
      <charset val="134"/>
      <scheme val="minor"/>
    </font>
    <font>
      <b/>
      <sz val="11"/>
      <name val="新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新宋体"/>
      <charset val="134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4"/>
      <color theme="1"/>
      <name val="等线"/>
      <charset val="134"/>
      <scheme val="minor"/>
    </font>
    <font>
      <sz val="12"/>
      <color rgb="FF000000"/>
      <name val="等线"/>
      <charset val="134"/>
    </font>
    <font>
      <sz val="12"/>
      <name val="等线"/>
      <charset val="134"/>
    </font>
    <font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0.5"/>
      <color rgb="FF5C5C5C"/>
      <name val="Helvetica"/>
      <charset val="134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18" borderId="2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9" borderId="23" applyNumberFormat="0" applyAlignment="0" applyProtection="0">
      <alignment vertical="center"/>
    </xf>
    <xf numFmtId="0" fontId="49" fillId="20" borderId="24" applyNumberFormat="0" applyAlignment="0" applyProtection="0">
      <alignment vertical="center"/>
    </xf>
    <xf numFmtId="0" fontId="50" fillId="20" borderId="23" applyNumberFormat="0" applyAlignment="0" applyProtection="0">
      <alignment vertical="center"/>
    </xf>
    <xf numFmtId="0" fontId="51" fillId="21" borderId="25" applyNumberFormat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9" fillId="0" borderId="0"/>
  </cellStyleXfs>
  <cellXfs count="2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176" fontId="5" fillId="0" borderId="1" xfId="0" applyNumberFormat="1" applyFont="1" applyBorder="1" applyAlignment="1" applyProtection="1">
      <alignment horizontal="center" vertical="center"/>
    </xf>
    <xf numFmtId="177" fontId="5" fillId="0" borderId="1" xfId="0" applyNumberFormat="1" applyFont="1" applyBorder="1" applyAlignment="1" applyProtection="1">
      <alignment horizontal="center" vertical="center"/>
    </xf>
    <xf numFmtId="178" fontId="5" fillId="0" borderId="1" xfId="0" applyNumberFormat="1" applyFont="1" applyBorder="1" applyAlignment="1" applyProtection="1">
      <alignment horizontal="center" vertical="center"/>
    </xf>
    <xf numFmtId="177" fontId="5" fillId="3" borderId="1" xfId="0" applyNumberFormat="1" applyFont="1" applyFill="1" applyBorder="1" applyAlignment="1" applyProtection="1">
      <alignment horizontal="center" vertical="center"/>
    </xf>
    <xf numFmtId="177" fontId="6" fillId="3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177" fontId="6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177" fontId="2" fillId="0" borderId="0" xfId="0" applyNumberFormat="1" applyFont="1">
      <alignment vertical="center"/>
    </xf>
    <xf numFmtId="178" fontId="2" fillId="0" borderId="0" xfId="0" applyNumberFormat="1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Protection="1">
      <alignment vertical="center"/>
    </xf>
    <xf numFmtId="177" fontId="2" fillId="0" borderId="1" xfId="0" applyNumberFormat="1" applyFont="1" applyBorder="1" applyProtection="1">
      <alignment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Fill="1">
      <alignment vertical="center"/>
    </xf>
    <xf numFmtId="179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180" fontId="5" fillId="0" borderId="1" xfId="0" applyNumberFormat="1" applyFont="1" applyBorder="1" applyAlignment="1" applyProtection="1">
      <alignment horizontal="center" vertical="center"/>
    </xf>
    <xf numFmtId="181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4" fontId="2" fillId="0" borderId="2" xfId="0" applyNumberFormat="1" applyFont="1" applyBorder="1" applyAlignment="1" applyProtection="1">
      <alignment horizontal="center" vertical="center"/>
    </xf>
    <xf numFmtId="182" fontId="8" fillId="0" borderId="1" xfId="0" applyNumberFormat="1" applyFont="1" applyBorder="1" applyProtection="1">
      <alignment vertical="center"/>
    </xf>
    <xf numFmtId="14" fontId="2" fillId="0" borderId="1" xfId="0" applyNumberFormat="1" applyFont="1" applyBorder="1" applyAlignment="1" applyProtection="1">
      <alignment horizontal="center" vertical="center"/>
    </xf>
    <xf numFmtId="181" fontId="5" fillId="0" borderId="1" xfId="0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Protection="1">
      <alignment vertical="center"/>
    </xf>
    <xf numFmtId="181" fontId="2" fillId="0" borderId="3" xfId="0" applyNumberFormat="1" applyFont="1" applyFill="1" applyBorder="1" applyAlignment="1" applyProtection="1">
      <alignment horizontal="center" vertical="center"/>
    </xf>
    <xf numFmtId="181" fontId="2" fillId="4" borderId="3" xfId="0" applyNumberFormat="1" applyFont="1" applyFill="1" applyBorder="1" applyAlignment="1" applyProtection="1">
      <alignment horizontal="center" vertical="center"/>
    </xf>
    <xf numFmtId="179" fontId="3" fillId="2" borderId="1" xfId="0" applyNumberFormat="1" applyFont="1" applyFill="1" applyBorder="1" applyAlignment="1" applyProtection="1">
      <alignment horizontal="center" vertical="center"/>
    </xf>
    <xf numFmtId="179" fontId="5" fillId="2" borderId="1" xfId="0" applyNumberFormat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179" fontId="5" fillId="0" borderId="1" xfId="0" applyNumberFormat="1" applyFont="1" applyBorder="1" applyAlignment="1" applyProtection="1">
      <alignment horizontal="center" vertical="center"/>
    </xf>
    <xf numFmtId="179" fontId="2" fillId="0" borderId="1" xfId="0" applyNumberFormat="1" applyFont="1" applyFill="1" applyBorder="1" applyProtection="1">
      <alignment vertical="center"/>
    </xf>
    <xf numFmtId="177" fontId="2" fillId="0" borderId="1" xfId="0" applyNumberFormat="1" applyFont="1" applyFill="1" applyBorder="1" applyProtection="1">
      <alignment vertical="center"/>
    </xf>
    <xf numFmtId="0" fontId="5" fillId="2" borderId="5" xfId="0" applyFont="1" applyFill="1" applyBorder="1" applyAlignment="1" applyProtection="1">
      <alignment horizontal="center" vertical="center"/>
    </xf>
    <xf numFmtId="14" fontId="2" fillId="0" borderId="0" xfId="0" applyNumberFormat="1" applyFont="1" applyAlignment="1">
      <alignment horizontal="left" vertical="center"/>
    </xf>
    <xf numFmtId="183" fontId="8" fillId="0" borderId="0" xfId="0" applyNumberFormat="1" applyFont="1" applyAlignment="1">
      <alignment horizontal="left" vertical="center"/>
    </xf>
    <xf numFmtId="0" fontId="5" fillId="0" borderId="1" xfId="0" applyFont="1" applyFill="1" applyBorder="1" applyAlignment="1" applyProtection="1">
      <alignment horizontal="left" vertical="center" wrapText="1"/>
    </xf>
    <xf numFmtId="183" fontId="8" fillId="0" borderId="0" xfId="0" applyNumberFormat="1" applyFont="1" applyFill="1" applyAlignment="1">
      <alignment horizontal="left" vertical="center"/>
    </xf>
    <xf numFmtId="183" fontId="8" fillId="0" borderId="0" xfId="0" applyNumberFormat="1" applyFont="1" applyFill="1" applyAlignment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177" fontId="5" fillId="0" borderId="4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left" vertical="center" wrapText="1"/>
    </xf>
    <xf numFmtId="183" fontId="9" fillId="0" borderId="0" xfId="0" applyNumberFormat="1" applyFont="1" applyFill="1" applyBorder="1" applyAlignment="1">
      <alignment horizontal="left" vertical="center"/>
    </xf>
    <xf numFmtId="183" fontId="9" fillId="0" borderId="0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Protection="1">
      <alignment vertical="center"/>
    </xf>
    <xf numFmtId="177" fontId="2" fillId="0" borderId="3" xfId="0" applyNumberFormat="1" applyFont="1" applyFill="1" applyBorder="1" applyProtection="1">
      <alignment vertical="center"/>
    </xf>
    <xf numFmtId="0" fontId="2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/>
    </xf>
    <xf numFmtId="49" fontId="10" fillId="0" borderId="3" xfId="0" applyNumberFormat="1" applyFont="1" applyFill="1" applyBorder="1" applyAlignment="1">
      <alignment horizontal="center"/>
    </xf>
    <xf numFmtId="49" fontId="10" fillId="0" borderId="0" xfId="0" applyNumberFormat="1" applyFont="1" applyFill="1" applyAlignment="1"/>
    <xf numFmtId="0" fontId="2" fillId="0" borderId="3" xfId="0" applyFont="1" applyFill="1" applyBorder="1" applyAlignment="1" applyProtection="1">
      <alignment horizontal="center" vertical="center"/>
    </xf>
    <xf numFmtId="181" fontId="2" fillId="5" borderId="3" xfId="0" applyNumberFormat="1" applyFont="1" applyFill="1" applyBorder="1" applyAlignment="1" applyProtection="1">
      <alignment horizontal="center" vertical="center"/>
    </xf>
    <xf numFmtId="49" fontId="10" fillId="6" borderId="3" xfId="0" applyNumberFormat="1" applyFont="1" applyFill="1" applyBorder="1" applyAlignment="1">
      <alignment horizontal="center"/>
    </xf>
    <xf numFmtId="178" fontId="10" fillId="6" borderId="3" xfId="0" applyNumberFormat="1" applyFont="1" applyFill="1" applyBorder="1" applyAlignment="1">
      <alignment horizontal="center"/>
    </xf>
    <xf numFmtId="49" fontId="10" fillId="7" borderId="3" xfId="0" applyNumberFormat="1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</xf>
    <xf numFmtId="0" fontId="15" fillId="8" borderId="2" xfId="0" applyFont="1" applyFill="1" applyBorder="1" applyAlignment="1" applyProtection="1">
      <alignment horizontal="center" vertical="center" wrapText="1"/>
    </xf>
    <xf numFmtId="0" fontId="15" fillId="8" borderId="2" xfId="0" applyFont="1" applyFill="1" applyBorder="1" applyAlignment="1" applyProtection="1">
      <alignment horizontal="center" vertical="center"/>
    </xf>
    <xf numFmtId="0" fontId="15" fillId="8" borderId="1" xfId="0" applyFont="1" applyFill="1" applyBorder="1" applyAlignment="1" applyProtection="1">
      <alignment horizontal="center" vertical="center" wrapText="1"/>
    </xf>
    <xf numFmtId="184" fontId="15" fillId="8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</xf>
    <xf numFmtId="178" fontId="8" fillId="0" borderId="1" xfId="0" applyNumberFormat="1" applyFont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184" fontId="15" fillId="8" borderId="2" xfId="0" applyNumberFormat="1" applyFont="1" applyFill="1" applyBorder="1" applyAlignment="1" applyProtection="1">
      <alignment horizontal="center" vertical="center" wrapText="1"/>
    </xf>
    <xf numFmtId="0" fontId="15" fillId="8" borderId="12" xfId="0" applyFont="1" applyFill="1" applyBorder="1" applyAlignment="1" applyProtection="1">
      <alignment horizontal="center" vertical="center" wrapText="1"/>
    </xf>
    <xf numFmtId="0" fontId="15" fillId="8" borderId="13" xfId="0" applyFont="1" applyFill="1" applyBorder="1" applyAlignment="1" applyProtection="1">
      <alignment horizontal="center" vertical="center" wrapText="1"/>
    </xf>
    <xf numFmtId="0" fontId="15" fillId="8" borderId="1" xfId="0" applyFont="1" applyFill="1" applyBorder="1" applyAlignment="1" applyProtection="1">
      <alignment vertical="center" wrapText="1"/>
    </xf>
    <xf numFmtId="178" fontId="16" fillId="0" borderId="1" xfId="0" applyNumberFormat="1" applyFont="1" applyBorder="1" applyAlignment="1" applyProtection="1">
      <alignment horizontal="center" vertical="center"/>
    </xf>
    <xf numFmtId="178" fontId="17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178" fontId="8" fillId="5" borderId="1" xfId="0" applyNumberFormat="1" applyFont="1" applyFill="1" applyBorder="1" applyAlignment="1" applyProtection="1">
      <alignment horizontal="center" vertical="center"/>
    </xf>
    <xf numFmtId="0" fontId="15" fillId="8" borderId="14" xfId="0" applyFont="1" applyFill="1" applyBorder="1" applyAlignment="1" applyProtection="1">
      <alignment horizontal="center" vertical="center" wrapText="1"/>
    </xf>
    <xf numFmtId="0" fontId="15" fillId="8" borderId="15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/>
    <xf numFmtId="49" fontId="18" fillId="0" borderId="0" xfId="0" applyNumberFormat="1" applyFont="1" applyFill="1" applyBorder="1" applyAlignment="1"/>
    <xf numFmtId="185" fontId="18" fillId="0" borderId="0" xfId="0" applyNumberFormat="1" applyFont="1" applyFill="1" applyBorder="1" applyAlignment="1"/>
    <xf numFmtId="10" fontId="18" fillId="0" borderId="0" xfId="0" applyNumberFormat="1" applyFont="1" applyFill="1" applyBorder="1" applyAlignment="1"/>
    <xf numFmtId="49" fontId="18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85" fontId="18" fillId="0" borderId="0" xfId="0" applyNumberFormat="1" applyFont="1" applyFill="1" applyBorder="1" applyAlignment="1">
      <alignment vertical="center"/>
    </xf>
    <xf numFmtId="10" fontId="18" fillId="0" borderId="0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9" fillId="0" borderId="0" xfId="0" applyFont="1" applyFill="1" applyAlignment="1"/>
    <xf numFmtId="0" fontId="20" fillId="0" borderId="0" xfId="0" applyFont="1" applyFill="1" applyAlignment="1">
      <alignment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Alignment="1" applyProtection="1">
      <alignment horizontal="center"/>
    </xf>
    <xf numFmtId="0" fontId="10" fillId="0" borderId="0" xfId="0" applyFont="1" applyFill="1" applyAlignment="1">
      <alignment vertical="center"/>
    </xf>
    <xf numFmtId="0" fontId="2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2" fillId="9" borderId="3" xfId="26" applyNumberFormat="1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/>
    <xf numFmtId="0" fontId="18" fillId="6" borderId="3" xfId="0" applyFont="1" applyFill="1" applyBorder="1" applyAlignment="1"/>
    <xf numFmtId="0" fontId="23" fillId="10" borderId="3" xfId="0" applyFont="1" applyFill="1" applyBorder="1" applyAlignment="1"/>
    <xf numFmtId="0" fontId="19" fillId="0" borderId="0" xfId="0" applyFont="1" applyFill="1" applyBorder="1" applyAlignment="1"/>
    <xf numFmtId="0" fontId="24" fillId="0" borderId="0" xfId="0" applyFont="1" applyFill="1" applyBorder="1" applyAlignment="1"/>
    <xf numFmtId="0" fontId="25" fillId="9" borderId="3" xfId="26" applyNumberFormat="1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/>
    <xf numFmtId="0" fontId="26" fillId="5" borderId="3" xfId="0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center" vertical="center"/>
    </xf>
    <xf numFmtId="0" fontId="27" fillId="11" borderId="0" xfId="0" applyFont="1" applyFill="1" applyAlignment="1">
      <alignment horizontal="center" vertical="center"/>
    </xf>
    <xf numFmtId="0" fontId="28" fillId="11" borderId="3" xfId="0" applyFont="1" applyFill="1" applyBorder="1" applyAlignment="1">
      <alignment horizontal="center" vertical="center" wrapText="1"/>
    </xf>
    <xf numFmtId="0" fontId="27" fillId="11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178" fontId="20" fillId="0" borderId="3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186" fontId="20" fillId="0" borderId="3" xfId="0" applyNumberFormat="1" applyFont="1" applyFill="1" applyBorder="1" applyAlignment="1">
      <alignment horizontal="center" vertical="center"/>
    </xf>
    <xf numFmtId="178" fontId="29" fillId="0" borderId="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0" fillId="0" borderId="3" xfId="0" applyNumberFormat="1" applyFont="1" applyFill="1" applyBorder="1" applyAlignment="1" applyProtection="1">
      <alignment horizontal="center" vertical="center"/>
    </xf>
    <xf numFmtId="0" fontId="30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49" fontId="0" fillId="0" borderId="3" xfId="0" applyNumberFormat="1" applyFont="1" applyFill="1" applyBorder="1" applyAlignment="1" applyProtection="1">
      <alignment horizontal="center"/>
    </xf>
    <xf numFmtId="0" fontId="0" fillId="12" borderId="3" xfId="0" applyFill="1" applyBorder="1" applyAlignment="1">
      <alignment horizontal="center" vertical="center"/>
    </xf>
    <xf numFmtId="187" fontId="31" fillId="12" borderId="3" xfId="0" applyNumberFormat="1" applyFont="1" applyFill="1" applyBorder="1" applyAlignment="1" applyProtection="1">
      <alignment horizontal="center" vertical="center"/>
    </xf>
    <xf numFmtId="187" fontId="10" fillId="12" borderId="3" xfId="0" applyNumberFormat="1" applyFont="1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187" fontId="32" fillId="13" borderId="3" xfId="0" applyNumberFormat="1" applyFont="1" applyFill="1" applyBorder="1" applyAlignment="1" applyProtection="1">
      <alignment horizontal="center" vertical="center"/>
    </xf>
    <xf numFmtId="0" fontId="0" fillId="13" borderId="3" xfId="0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/>
    </xf>
    <xf numFmtId="187" fontId="31" fillId="14" borderId="3" xfId="0" applyNumberFormat="1" applyFont="1" applyFill="1" applyBorder="1" applyAlignment="1" applyProtection="1">
      <alignment horizontal="center" vertical="center"/>
    </xf>
    <xf numFmtId="187" fontId="10" fillId="14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 applyProtection="1">
      <alignment horizontal="center" vertical="center"/>
    </xf>
    <xf numFmtId="0" fontId="0" fillId="15" borderId="3" xfId="0" applyFill="1" applyBorder="1" applyAlignment="1">
      <alignment horizontal="center" vertical="center" wrapText="1"/>
    </xf>
    <xf numFmtId="0" fontId="0" fillId="15" borderId="3" xfId="0" applyFill="1" applyBorder="1" applyAlignment="1">
      <alignment horizontal="center" vertical="center"/>
    </xf>
    <xf numFmtId="187" fontId="31" fillId="15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Alignment="1" applyProtection="1">
      <alignment horizontal="center" vertical="center"/>
    </xf>
    <xf numFmtId="187" fontId="1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87" fontId="10" fillId="0" borderId="0" xfId="0" applyNumberFormat="1" applyFont="1" applyFill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19" fillId="6" borderId="3" xfId="0" applyFont="1" applyFill="1" applyBorder="1" applyAlignment="1"/>
    <xf numFmtId="0" fontId="29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178" fontId="29" fillId="0" borderId="0" xfId="0" applyNumberFormat="1" applyFont="1" applyBorder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86" fontId="0" fillId="12" borderId="3" xfId="0" applyNumberFormat="1" applyFont="1" applyFill="1" applyBorder="1" applyAlignment="1" applyProtection="1">
      <alignment horizontal="center" vertical="center"/>
    </xf>
    <xf numFmtId="9" fontId="0" fillId="12" borderId="3" xfId="0" applyNumberFormat="1" applyFill="1" applyBorder="1" applyAlignment="1">
      <alignment horizontal="center" vertical="center"/>
    </xf>
    <xf numFmtId="187" fontId="10" fillId="0" borderId="3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187" fontId="10" fillId="0" borderId="0" xfId="0" applyNumberFormat="1" applyFont="1" applyFill="1" applyBorder="1" applyAlignment="1">
      <alignment horizontal="center" vertical="center"/>
    </xf>
    <xf numFmtId="187" fontId="0" fillId="0" borderId="0" xfId="0" applyNumberFormat="1" applyFont="1" applyFill="1" applyBorder="1" applyAlignment="1" applyProtection="1">
      <alignment horizontal="center" vertical="center"/>
    </xf>
    <xf numFmtId="187" fontId="0" fillId="0" borderId="0" xfId="0" applyNumberFormat="1" applyFont="1" applyFill="1" applyBorder="1" applyAlignment="1" applyProtection="1">
      <alignment horizontal="center"/>
    </xf>
    <xf numFmtId="9" fontId="31" fillId="13" borderId="3" xfId="3" applyFont="1" applyFill="1" applyBorder="1" applyAlignment="1" applyProtection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/>
    </xf>
    <xf numFmtId="186" fontId="0" fillId="14" borderId="3" xfId="0" applyNumberFormat="1" applyFont="1" applyFill="1" applyBorder="1" applyAlignment="1" applyProtection="1">
      <alignment horizontal="center" vertical="center"/>
    </xf>
    <xf numFmtId="9" fontId="0" fillId="14" borderId="3" xfId="0" applyNumberForma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 wrapText="1"/>
    </xf>
    <xf numFmtId="178" fontId="10" fillId="0" borderId="0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9" fontId="10" fillId="0" borderId="0" xfId="0" applyNumberFormat="1" applyFont="1" applyFill="1" applyBorder="1" applyAlignment="1">
      <alignment horizontal="center" vertical="center"/>
    </xf>
    <xf numFmtId="9" fontId="0" fillId="0" borderId="3" xfId="3" applyFont="1" applyBorder="1" applyAlignment="1">
      <alignment horizontal="center" vertical="center"/>
    </xf>
    <xf numFmtId="9" fontId="33" fillId="0" borderId="0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Fill="1" applyAlignment="1" applyProtection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4" fillId="0" borderId="9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16" borderId="3" xfId="0" applyFill="1" applyBorder="1" applyAlignment="1">
      <alignment horizontal="center" vertical="center"/>
    </xf>
    <xf numFmtId="0" fontId="36" fillId="16" borderId="3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16" borderId="9" xfId="0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181" fontId="2" fillId="0" borderId="3" xfId="0" applyNumberFormat="1" applyFont="1" applyBorder="1" applyAlignment="1" applyProtection="1">
      <alignment horizontal="center" vertical="center"/>
    </xf>
    <xf numFmtId="183" fontId="2" fillId="0" borderId="3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181" fontId="2" fillId="6" borderId="3" xfId="0" applyNumberFormat="1" applyFont="1" applyFill="1" applyBorder="1" applyAlignment="1" applyProtection="1">
      <alignment horizontal="center" vertical="center"/>
    </xf>
    <xf numFmtId="183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183" fontId="38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83" fontId="2" fillId="0" borderId="3" xfId="0" applyNumberFormat="1" applyFont="1" applyBorder="1" applyAlignment="1" applyProtection="1">
      <alignment horizontal="center" vertical="center"/>
    </xf>
    <xf numFmtId="183" fontId="2" fillId="0" borderId="3" xfId="0" applyNumberFormat="1" applyFont="1" applyFill="1" applyBorder="1" applyAlignment="1" applyProtection="1">
      <alignment horizontal="center" vertical="center"/>
    </xf>
    <xf numFmtId="14" fontId="2" fillId="0" borderId="3" xfId="0" applyNumberFormat="1" applyFont="1" applyFill="1" applyBorder="1" applyAlignment="1" applyProtection="1">
      <alignment horizontal="center" vertical="center"/>
    </xf>
    <xf numFmtId="187" fontId="2" fillId="0" borderId="3" xfId="0" applyNumberFormat="1" applyFont="1" applyFill="1" applyBorder="1" applyAlignment="1" applyProtection="1">
      <alignment horizontal="center" vertical="center"/>
    </xf>
    <xf numFmtId="181" fontId="23" fillId="0" borderId="3" xfId="0" applyNumberFormat="1" applyFont="1" applyFill="1" applyBorder="1" applyAlignment="1" applyProtection="1">
      <alignment horizontal="center" vertical="center"/>
    </xf>
    <xf numFmtId="177" fontId="2" fillId="0" borderId="3" xfId="0" applyNumberFormat="1" applyFont="1" applyFill="1" applyBorder="1" applyAlignment="1" applyProtection="1">
      <alignment horizontal="center" vertical="center"/>
    </xf>
    <xf numFmtId="0" fontId="2" fillId="17" borderId="3" xfId="0" applyFont="1" applyFill="1" applyBorder="1" applyAlignment="1" applyProtection="1">
      <alignment horizontal="center" vertical="center"/>
    </xf>
    <xf numFmtId="0" fontId="39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77" fontId="2" fillId="0" borderId="3" xfId="0" applyNumberFormat="1" applyFont="1" applyBorder="1" applyAlignment="1" applyProtection="1">
      <alignment horizontal="center" vertical="center"/>
    </xf>
    <xf numFmtId="187" fontId="2" fillId="0" borderId="3" xfId="0" applyNumberFormat="1" applyFont="1" applyBorder="1" applyAlignment="1" applyProtection="1">
      <alignment horizontal="center" vertical="center"/>
    </xf>
    <xf numFmtId="187" fontId="2" fillId="0" borderId="3" xfId="0" applyNumberFormat="1" applyFont="1" applyFill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8" fontId="23" fillId="0" borderId="3" xfId="0" applyNumberFormat="1" applyFont="1" applyFill="1" applyBorder="1" applyAlignment="1" applyProtection="1">
      <alignment horizontal="center" vertical="center"/>
    </xf>
    <xf numFmtId="178" fontId="23" fillId="0" borderId="3" xfId="0" applyNumberFormat="1" applyFont="1" applyFill="1" applyBorder="1" applyAlignment="1">
      <alignment horizontal="center" vertical="center"/>
    </xf>
    <xf numFmtId="178" fontId="37" fillId="0" borderId="0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 quotePrefix="1">
      <alignment horizontal="center" vertical="center" wrapText="1"/>
    </xf>
    <xf numFmtId="0" fontId="2" fillId="0" borderId="3" xfId="0" applyFont="1" applyBorder="1" applyAlignment="1" applyProtection="1" quotePrefix="1">
      <alignment horizontal="center" vertical="center"/>
    </xf>
    <xf numFmtId="0" fontId="2" fillId="0" borderId="3" xfId="0" applyFont="1" applyFill="1" applyBorder="1" applyAlignment="1" applyProtection="1" quotePrefix="1">
      <alignment horizontal="center" vertical="center"/>
    </xf>
    <xf numFmtId="0" fontId="2" fillId="0" borderId="3" xfId="0" applyFont="1" applyFill="1" applyBorder="1" applyAlignment="1" applyProtection="1" quotePrefix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/>
    </xf>
    <xf numFmtId="0" fontId="2" fillId="0" borderId="3" xfId="0" applyFont="1" applyFill="1" applyBorder="1" applyAlignment="1" quotePrefix="1">
      <alignment horizontal="center" vertical="center" wrapText="1"/>
    </xf>
    <xf numFmtId="0" fontId="37" fillId="0" borderId="0" xfId="0" applyFont="1" applyFill="1" applyBorder="1" applyAlignment="1" quotePrefix="1">
      <alignment horizontal="center" vertical="center"/>
    </xf>
    <xf numFmtId="0" fontId="15" fillId="3" borderId="1" xfId="0" applyFont="1" applyFill="1" applyBorder="1" applyAlignment="1" applyProtection="1" quotePrefix="1">
      <alignment horizontal="center" vertical="center" wrapText="1"/>
    </xf>
    <xf numFmtId="49" fontId="8" fillId="0" borderId="1" xfId="0" applyNumberFormat="1" applyFont="1" applyBorder="1" applyAlignment="1" applyProtection="1" quotePrefix="1">
      <alignment horizontal="center" vertical="center" wrapText="1"/>
    </xf>
    <xf numFmtId="49" fontId="10" fillId="0" borderId="3" xfId="0" applyNumberFormat="1" applyFont="1" applyFill="1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yang\AppData\Roaming\kingsoft\office6\backup\&#32764;&#25196;&#32593;&#32476;&#22312;&#32844;&#21592;&#24037;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0107;&#30456;&#20851;\&#34218;&#36164;&#34920;\23&#24180;&#34218;&#36164;\6&#26376;\2023&#24180;6&#26376;&#32764;&#25196;&#34218;&#36164;&#34920;7.10-&#26368;&#2603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yq\Downloads\&#32764;&#25196;&#32593;&#32476;&#22312;&#32844;&#21592;&#2403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2764;&#25196;&#32593;&#32476;&#22312;&#32844;&#21592;&#24037;(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-----导入前必读-----"/>
      <sheetName val="基本信息"/>
      <sheetName val="花名册隐藏下拉框"/>
      <sheetName val="学历信息"/>
    </sheetNames>
    <sheetDataSet>
      <sheetData sheetId="0"/>
      <sheetData sheetId="1">
        <row r="2">
          <cell r="B2" t="str">
            <v>赵华瑞</v>
          </cell>
          <cell r="C2" t="str">
            <v>220905001</v>
          </cell>
          <cell r="D2" t="str">
            <v>运营部</v>
          </cell>
          <cell r="E2" t="str">
            <v>工程部</v>
          </cell>
          <cell r="F2" t="str">
            <v>工程师</v>
          </cell>
          <cell r="G2" t="str">
            <v>+86-15555808197</v>
          </cell>
          <cell r="H2">
            <v>44809</v>
          </cell>
        </row>
        <row r="3">
          <cell r="B3" t="str">
            <v>吴晓力</v>
          </cell>
        </row>
        <row r="3">
          <cell r="D3" t="str">
            <v>运营部</v>
          </cell>
          <cell r="E3" t="str">
            <v>技术部</v>
          </cell>
          <cell r="F3" t="str">
            <v>兼职</v>
          </cell>
          <cell r="G3" t="str">
            <v>+86-15105813247</v>
          </cell>
          <cell r="H3">
            <v>44807</v>
          </cell>
        </row>
        <row r="4">
          <cell r="B4" t="str">
            <v>潘郁求</v>
          </cell>
          <cell r="C4" t="str">
            <v>220831002</v>
          </cell>
          <cell r="D4" t="str">
            <v>运营部</v>
          </cell>
          <cell r="E4" t="str">
            <v>工程部</v>
          </cell>
          <cell r="F4" t="str">
            <v>实施工程师</v>
          </cell>
          <cell r="G4" t="str">
            <v>+86-15607742921</v>
          </cell>
          <cell r="H4">
            <v>44804</v>
          </cell>
        </row>
        <row r="5">
          <cell r="B5" t="str">
            <v>严欣琳</v>
          </cell>
          <cell r="C5" t="str">
            <v>220831001</v>
          </cell>
          <cell r="D5" t="str">
            <v>运营部</v>
          </cell>
          <cell r="E5" t="str">
            <v>客服部</v>
          </cell>
          <cell r="F5" t="str">
            <v>网络技术支持</v>
          </cell>
          <cell r="G5" t="str">
            <v>+86-19972968261</v>
          </cell>
          <cell r="H5">
            <v>44804</v>
          </cell>
        </row>
        <row r="6">
          <cell r="B6" t="str">
            <v>阮隆南</v>
          </cell>
          <cell r="C6" t="str">
            <v>220828001</v>
          </cell>
          <cell r="D6" t="str">
            <v>运营部</v>
          </cell>
          <cell r="E6" t="str">
            <v>工程部</v>
          </cell>
          <cell r="F6" t="str">
            <v>工程师</v>
          </cell>
          <cell r="G6" t="str">
            <v>+86-19914579482</v>
          </cell>
          <cell r="H6">
            <v>44801</v>
          </cell>
        </row>
        <row r="7">
          <cell r="B7" t="str">
            <v>刘万兴</v>
          </cell>
        </row>
        <row r="7">
          <cell r="D7" t="str">
            <v>运营部</v>
          </cell>
          <cell r="E7" t="str">
            <v>工程部</v>
          </cell>
          <cell r="F7" t="str">
            <v>运维工程师</v>
          </cell>
          <cell r="G7" t="str">
            <v>+86-15649829651</v>
          </cell>
          <cell r="H7">
            <v>44797</v>
          </cell>
        </row>
        <row r="8">
          <cell r="B8" t="str">
            <v>屠海霞</v>
          </cell>
          <cell r="C8" t="str">
            <v>220728001</v>
          </cell>
          <cell r="D8" t="str">
            <v>财务部</v>
          </cell>
          <cell r="E8" t="str">
            <v/>
          </cell>
          <cell r="F8" t="str">
            <v>会计</v>
          </cell>
          <cell r="G8" t="str">
            <v>+86-15958138522</v>
          </cell>
          <cell r="H8">
            <v>44770</v>
          </cell>
        </row>
        <row r="9">
          <cell r="B9" t="str">
            <v>董心茹</v>
          </cell>
          <cell r="C9" t="str">
            <v>220712001</v>
          </cell>
          <cell r="D9" t="str">
            <v>运营部</v>
          </cell>
          <cell r="E9" t="str">
            <v>客服部</v>
          </cell>
          <cell r="F9" t="str">
            <v>客服</v>
          </cell>
          <cell r="G9" t="str">
            <v>+86-17839289825</v>
          </cell>
          <cell r="H9">
            <v>44754</v>
          </cell>
        </row>
        <row r="10">
          <cell r="B10" t="str">
            <v>练家乐</v>
          </cell>
          <cell r="C10" t="str">
            <v>220711004</v>
          </cell>
          <cell r="D10" t="str">
            <v>运营部</v>
          </cell>
          <cell r="E10" t="str">
            <v>工程部</v>
          </cell>
          <cell r="F10" t="str">
            <v>运维工程师</v>
          </cell>
          <cell r="G10" t="str">
            <v>+86-15136024280</v>
          </cell>
          <cell r="H10">
            <v>44753</v>
          </cell>
        </row>
        <row r="11">
          <cell r="B11" t="str">
            <v>许永道</v>
          </cell>
          <cell r="C11" t="str">
            <v>220711001</v>
          </cell>
          <cell r="D11" t="str">
            <v>运营部</v>
          </cell>
          <cell r="E11" t="str">
            <v>工程部</v>
          </cell>
          <cell r="F11" t="str">
            <v>运维工程师</v>
          </cell>
          <cell r="G11" t="str">
            <v>+86-18046884171</v>
          </cell>
          <cell r="H11">
            <v>44753</v>
          </cell>
        </row>
        <row r="12">
          <cell r="B12" t="str">
            <v>黎阳</v>
          </cell>
          <cell r="C12" t="str">
            <v>220711002</v>
          </cell>
          <cell r="D12" t="str">
            <v>运营部</v>
          </cell>
          <cell r="E12" t="str">
            <v>工程部</v>
          </cell>
          <cell r="F12" t="str">
            <v>网络工程师</v>
          </cell>
          <cell r="G12" t="str">
            <v>+86-15207015176</v>
          </cell>
          <cell r="H12">
            <v>44753</v>
          </cell>
        </row>
        <row r="13">
          <cell r="B13" t="str">
            <v>尹其强</v>
          </cell>
          <cell r="C13" t="str">
            <v>220711005</v>
          </cell>
          <cell r="D13" t="str">
            <v>运营部</v>
          </cell>
          <cell r="E13" t="str">
            <v>工程部</v>
          </cell>
          <cell r="F13" t="str">
            <v>运维工程师</v>
          </cell>
          <cell r="G13" t="str">
            <v>+86-13462939346</v>
          </cell>
          <cell r="H13">
            <v>44753</v>
          </cell>
        </row>
        <row r="14">
          <cell r="B14" t="str">
            <v>吴桐宇</v>
          </cell>
          <cell r="C14" t="str">
            <v>220705003</v>
          </cell>
          <cell r="D14" t="str">
            <v>运营部</v>
          </cell>
          <cell r="E14" t="str">
            <v>工程部</v>
          </cell>
          <cell r="F14" t="str">
            <v>工程师</v>
          </cell>
          <cell r="G14" t="str">
            <v>+86-18236621305</v>
          </cell>
          <cell r="H14">
            <v>44747</v>
          </cell>
        </row>
        <row r="15">
          <cell r="B15" t="str">
            <v>周蒙达</v>
          </cell>
          <cell r="C15" t="str">
            <v>220704001</v>
          </cell>
          <cell r="D15" t="str">
            <v>运营部</v>
          </cell>
          <cell r="E15" t="str">
            <v>工程部</v>
          </cell>
          <cell r="F15" t="str">
            <v>运维工程师</v>
          </cell>
          <cell r="G15" t="str">
            <v>+86-17636359342</v>
          </cell>
          <cell r="H15">
            <v>44746</v>
          </cell>
        </row>
        <row r="16">
          <cell r="B16" t="str">
            <v>王忠江</v>
          </cell>
          <cell r="C16" t="str">
            <v>220608001</v>
          </cell>
          <cell r="D16" t="str">
            <v>运营部</v>
          </cell>
          <cell r="E16" t="str">
            <v>技术部</v>
          </cell>
          <cell r="F16" t="str">
            <v>技术支持</v>
          </cell>
          <cell r="G16" t="str">
            <v>+86-13117622158</v>
          </cell>
          <cell r="H16">
            <v>44720</v>
          </cell>
        </row>
        <row r="17">
          <cell r="B17" t="str">
            <v>陈忠林</v>
          </cell>
          <cell r="C17" t="str">
            <v>220525001</v>
          </cell>
          <cell r="D17" t="str">
            <v>运营部</v>
          </cell>
          <cell r="E17" t="str">
            <v>仓库</v>
          </cell>
          <cell r="F17" t="str">
            <v>仓管</v>
          </cell>
          <cell r="G17" t="str">
            <v>+86-18267157803</v>
          </cell>
          <cell r="H17">
            <v>44706</v>
          </cell>
        </row>
        <row r="18">
          <cell r="B18" t="str">
            <v>叶万里</v>
          </cell>
          <cell r="C18" t="str">
            <v>220512001</v>
          </cell>
          <cell r="D18" t="str">
            <v>运营部</v>
          </cell>
          <cell r="E18" t="str">
            <v>工程部</v>
          </cell>
          <cell r="F18" t="str">
            <v>网络工程师</v>
          </cell>
          <cell r="G18" t="str">
            <v>+86-18010770879</v>
          </cell>
          <cell r="H18">
            <v>44693</v>
          </cell>
        </row>
        <row r="19">
          <cell r="B19" t="str">
            <v>谢江</v>
          </cell>
          <cell r="C19" t="str">
            <v>220110001</v>
          </cell>
          <cell r="D19" t="str">
            <v>运营部</v>
          </cell>
          <cell r="E19" t="str">
            <v>工程部</v>
          </cell>
          <cell r="F19" t="str">
            <v>网络工程师</v>
          </cell>
          <cell r="G19" t="str">
            <v>+86-17816051507</v>
          </cell>
          <cell r="H19">
            <v>44571</v>
          </cell>
        </row>
        <row r="20">
          <cell r="B20" t="str">
            <v>辛菡芬</v>
          </cell>
          <cell r="C20" t="str">
            <v>211101001</v>
          </cell>
          <cell r="D20" t="str">
            <v>行政办公室</v>
          </cell>
          <cell r="E20" t="str">
            <v/>
          </cell>
          <cell r="F20" t="str">
            <v>人事主管</v>
          </cell>
          <cell r="G20" t="str">
            <v>+86-13989868363</v>
          </cell>
          <cell r="H20">
            <v>44501</v>
          </cell>
        </row>
        <row r="21">
          <cell r="B21" t="str">
            <v>陈新运</v>
          </cell>
          <cell r="C21" t="str">
            <v>211011001</v>
          </cell>
          <cell r="D21" t="str">
            <v>运营部</v>
          </cell>
          <cell r="E21" t="str">
            <v>工程部</v>
          </cell>
          <cell r="F21" t="str">
            <v>网络工程师</v>
          </cell>
          <cell r="G21" t="str">
            <v>+86-13588322340</v>
          </cell>
          <cell r="H21">
            <v>44480</v>
          </cell>
        </row>
        <row r="22">
          <cell r="B22" t="str">
            <v>郑旭明</v>
          </cell>
          <cell r="C22" t="str">
            <v/>
          </cell>
          <cell r="D22" t="str">
            <v>运营部</v>
          </cell>
          <cell r="E22" t="str">
            <v/>
          </cell>
          <cell r="F22" t="str">
            <v>运营总监</v>
          </cell>
          <cell r="G22" t="str">
            <v>+86-18069790585</v>
          </cell>
          <cell r="H22">
            <v>44348</v>
          </cell>
        </row>
        <row r="23">
          <cell r="B23" t="str">
            <v>江彬超</v>
          </cell>
          <cell r="C23" t="str">
            <v>210315001</v>
          </cell>
          <cell r="D23" t="str">
            <v>财务部</v>
          </cell>
          <cell r="E23" t="str">
            <v/>
          </cell>
          <cell r="F23" t="str">
            <v>出纳</v>
          </cell>
          <cell r="G23" t="str">
            <v>+86-18205818327</v>
          </cell>
          <cell r="H23">
            <v>44270</v>
          </cell>
        </row>
        <row r="24">
          <cell r="B24" t="str">
            <v>方观富</v>
          </cell>
          <cell r="C24" t="str">
            <v>200925003</v>
          </cell>
          <cell r="D24" t="str">
            <v>运营部</v>
          </cell>
          <cell r="E24" t="str">
            <v>工程部</v>
          </cell>
          <cell r="F24" t="str">
            <v>网络工程师</v>
          </cell>
          <cell r="G24" t="str">
            <v>+86-18901955875</v>
          </cell>
          <cell r="H24">
            <v>44099</v>
          </cell>
        </row>
        <row r="25">
          <cell r="B25" t="str">
            <v>金晓莉</v>
          </cell>
          <cell r="C25" t="str">
            <v>200723001</v>
          </cell>
          <cell r="D25" t="str">
            <v>运营部</v>
          </cell>
          <cell r="E25" t="str">
            <v>客服部</v>
          </cell>
          <cell r="F25" t="str">
            <v>客服专员</v>
          </cell>
          <cell r="G25" t="str">
            <v>+86-15024355520</v>
          </cell>
          <cell r="H25">
            <v>44035</v>
          </cell>
        </row>
        <row r="26">
          <cell r="B26" t="str">
            <v>汪启军</v>
          </cell>
          <cell r="C26" t="str">
            <v>200708011</v>
          </cell>
          <cell r="D26" t="str">
            <v>翼扬网络</v>
          </cell>
          <cell r="E26" t="str">
            <v/>
          </cell>
          <cell r="F26" t="str">
            <v>副总经理</v>
          </cell>
          <cell r="G26" t="str">
            <v>+86-13758223990</v>
          </cell>
          <cell r="H26">
            <v>44020</v>
          </cell>
        </row>
        <row r="27">
          <cell r="B27" t="str">
            <v>肖添赢</v>
          </cell>
          <cell r="C27" t="str">
            <v>200611009</v>
          </cell>
          <cell r="D27" t="str">
            <v>运营部</v>
          </cell>
          <cell r="E27" t="str">
            <v>客服部</v>
          </cell>
          <cell r="F27" t="str">
            <v>客服专员</v>
          </cell>
          <cell r="G27" t="str">
            <v>+86-18806280707</v>
          </cell>
          <cell r="H27">
            <v>43993</v>
          </cell>
        </row>
        <row r="28">
          <cell r="B28" t="str">
            <v>马遥</v>
          </cell>
          <cell r="C28" t="str">
            <v>200603008</v>
          </cell>
          <cell r="D28" t="str">
            <v>运营部</v>
          </cell>
          <cell r="E28" t="str">
            <v>企宣部</v>
          </cell>
          <cell r="F28" t="str">
            <v>总监助理</v>
          </cell>
          <cell r="G28" t="str">
            <v>+86-15657136209</v>
          </cell>
          <cell r="H28">
            <v>43985</v>
          </cell>
        </row>
        <row r="29">
          <cell r="B29" t="str">
            <v>廖玉苗</v>
          </cell>
          <cell r="C29" t="str">
            <v>200508003</v>
          </cell>
          <cell r="D29" t="str">
            <v>运营部</v>
          </cell>
          <cell r="E29" t="str">
            <v>工程部</v>
          </cell>
          <cell r="F29" t="str">
            <v>网络工程师</v>
          </cell>
          <cell r="G29" t="str">
            <v>+86-18972408123</v>
          </cell>
          <cell r="H29">
            <v>43959</v>
          </cell>
        </row>
        <row r="30">
          <cell r="B30" t="str">
            <v>余峰</v>
          </cell>
          <cell r="C30" t="str">
            <v>190802001</v>
          </cell>
          <cell r="D30" t="str">
            <v>运营部</v>
          </cell>
          <cell r="E30" t="str">
            <v>工程部</v>
          </cell>
          <cell r="F30" t="str">
            <v>上海地区运维</v>
          </cell>
          <cell r="G30" t="str">
            <v>+86-13757131242</v>
          </cell>
          <cell r="H30">
            <v>43679</v>
          </cell>
        </row>
        <row r="31">
          <cell r="B31" t="str">
            <v>黄培豪</v>
          </cell>
          <cell r="C31" t="str">
            <v>190507233</v>
          </cell>
          <cell r="D31" t="str">
            <v>运营部</v>
          </cell>
          <cell r="E31" t="str">
            <v>工程部</v>
          </cell>
          <cell r="F31" t="str">
            <v>广深地区运维</v>
          </cell>
          <cell r="G31" t="str">
            <v>+86-13025335297</v>
          </cell>
          <cell r="H31">
            <v>43592</v>
          </cell>
        </row>
        <row r="32">
          <cell r="B32" t="str">
            <v>杨树</v>
          </cell>
          <cell r="C32" t="str">
            <v>190328217</v>
          </cell>
          <cell r="D32" t="str">
            <v>运营部</v>
          </cell>
          <cell r="E32" t="str">
            <v>工程部</v>
          </cell>
          <cell r="F32" t="str">
            <v>主管助理</v>
          </cell>
          <cell r="G32" t="str">
            <v>+86-19945020100</v>
          </cell>
          <cell r="H32">
            <v>43552</v>
          </cell>
        </row>
        <row r="33">
          <cell r="B33" t="str">
            <v>陶耀斌</v>
          </cell>
          <cell r="C33" t="str">
            <v>150810001</v>
          </cell>
          <cell r="D33" t="str">
            <v>总经办</v>
          </cell>
          <cell r="E33" t="str">
            <v/>
          </cell>
          <cell r="F33" t="str">
            <v>总经理</v>
          </cell>
          <cell r="G33" t="str">
            <v>+86-18072969999</v>
          </cell>
          <cell r="H33">
            <v>42226</v>
          </cell>
        </row>
        <row r="34">
          <cell r="B34" t="str">
            <v>陶晋</v>
          </cell>
          <cell r="C34" t="str">
            <v>04686954181220245</v>
          </cell>
          <cell r="D34" t="str">
            <v>观察员</v>
          </cell>
          <cell r="E34" t="str">
            <v/>
          </cell>
          <cell r="F34" t="str">
            <v>观察员</v>
          </cell>
          <cell r="G34" t="str">
            <v>+86-13488111287</v>
          </cell>
          <cell r="H34">
            <v>42226</v>
          </cell>
        </row>
        <row r="35">
          <cell r="B35" t="str">
            <v>陶耀文</v>
          </cell>
          <cell r="C35" t="str">
            <v>150810003</v>
          </cell>
          <cell r="D35" t="str">
            <v>大客户部</v>
          </cell>
          <cell r="E35" t="str">
            <v/>
          </cell>
          <cell r="F35" t="str">
            <v>大客户销售总监</v>
          </cell>
          <cell r="G35" t="str">
            <v>+86-15372003027</v>
          </cell>
          <cell r="H35">
            <v>42226</v>
          </cell>
        </row>
        <row r="36">
          <cell r="B36" t="str">
            <v>彭碧茂</v>
          </cell>
          <cell r="C36" t="str">
            <v>150810002</v>
          </cell>
          <cell r="D36" t="str">
            <v>运营部</v>
          </cell>
          <cell r="E36" t="str">
            <v>技术部</v>
          </cell>
          <cell r="F36" t="str">
            <v>技术工程师</v>
          </cell>
          <cell r="G36" t="str">
            <v>+86-15325812580</v>
          </cell>
          <cell r="H36">
            <v>42226</v>
          </cell>
        </row>
        <row r="37">
          <cell r="B37" t="str">
            <v>彭小芹</v>
          </cell>
          <cell r="C37" t="str">
            <v/>
          </cell>
          <cell r="D37" t="str">
            <v>总经办</v>
          </cell>
          <cell r="E37" t="str">
            <v/>
          </cell>
          <cell r="F37" t="str">
            <v/>
          </cell>
          <cell r="G37" t="str">
            <v>+86-18969067333</v>
          </cell>
        </row>
        <row r="38">
          <cell r="B38" t="str">
            <v>陶琦</v>
          </cell>
          <cell r="C38" t="str">
            <v/>
          </cell>
          <cell r="D38" t="str">
            <v>观察员</v>
          </cell>
          <cell r="E38" t="str">
            <v/>
          </cell>
          <cell r="F38" t="str">
            <v/>
          </cell>
          <cell r="G38" t="str">
            <v>+86-15336536929</v>
          </cell>
        </row>
        <row r="39">
          <cell r="B39" t="str">
            <v>王冬梅</v>
          </cell>
        </row>
        <row r="39">
          <cell r="D39" t="str">
            <v>观察员</v>
          </cell>
          <cell r="E39" t="str">
            <v/>
          </cell>
        </row>
        <row r="39">
          <cell r="G39" t="str">
            <v>+86-17757102831</v>
          </cell>
        </row>
        <row r="40">
          <cell r="B40" t="str">
            <v>小翼</v>
          </cell>
        </row>
        <row r="40">
          <cell r="D40" t="str">
            <v>运营部</v>
          </cell>
          <cell r="E40" t="str">
            <v>技术部</v>
          </cell>
          <cell r="F40" t="str">
            <v/>
          </cell>
          <cell r="G40" t="str">
            <v>+86-18958153131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工资表"/>
      <sheetName val="奖金明细"/>
      <sheetName val="综合所得申报税款计算 (2)"/>
      <sheetName val="社保公积金"/>
      <sheetName val="社保公积金11"/>
      <sheetName val="考勤"/>
      <sheetName val="Sheet1"/>
      <sheetName val="Sheet2"/>
      <sheetName val="考勤 (2)不用"/>
    </sheetNames>
    <sheetDataSet>
      <sheetData sheetId="0" refreshError="1">
        <row r="2">
          <cell r="C2" t="str">
            <v>浙江翼扬网络科技有限公司2023年6月工资表</v>
          </cell>
        </row>
        <row r="3">
          <cell r="C3" t="str">
            <v>姓名</v>
          </cell>
          <cell r="D3" t="str">
            <v>入职时间</v>
          </cell>
          <cell r="E3" t="str">
            <v>手机号</v>
          </cell>
          <cell r="F3" t="str">
            <v>身份证号码</v>
          </cell>
          <cell r="G3" t="str">
            <v>银行卡号</v>
          </cell>
          <cell r="H3" t="str">
            <v>开户行</v>
          </cell>
          <cell r="I3" t="str">
            <v>基础工资</v>
          </cell>
          <cell r="J3" t="str">
            <v>岗位工资</v>
          </cell>
          <cell r="K3" t="str">
            <v>绩效</v>
          </cell>
          <cell r="L3" t="str">
            <v>通讯补贴</v>
          </cell>
          <cell r="M3" t="str">
            <v>全勤奖</v>
          </cell>
          <cell r="N3" t="str">
            <v>加班时长补贴</v>
          </cell>
          <cell r="O3" t="str">
            <v>交通补贴</v>
          </cell>
          <cell r="P3" t="str">
            <v>学历</v>
          </cell>
          <cell r="Q3" t="str">
            <v>工龄</v>
          </cell>
        </row>
        <row r="4">
          <cell r="C4" t="str">
            <v>陶耀斌</v>
          </cell>
          <cell r="D4">
            <v>42226</v>
          </cell>
          <cell r="E4">
            <v>18957134596</v>
          </cell>
          <cell r="F4" t="str">
            <v>421127199106034715</v>
          </cell>
          <cell r="G4" t="str">
            <v>6212261202020647369</v>
          </cell>
          <cell r="H4" t="str">
            <v>工行艮山支行</v>
          </cell>
          <cell r="I4">
            <v>2500</v>
          </cell>
          <cell r="J4">
            <v>12000</v>
          </cell>
        </row>
        <row r="4">
          <cell r="L4">
            <v>500</v>
          </cell>
          <cell r="M4">
            <v>0</v>
          </cell>
        </row>
        <row r="4">
          <cell r="P4">
            <v>0</v>
          </cell>
          <cell r="Q4">
            <v>350</v>
          </cell>
        </row>
        <row r="5">
          <cell r="C5" t="str">
            <v>彭小芹</v>
          </cell>
          <cell r="D5">
            <v>42226</v>
          </cell>
          <cell r="E5">
            <v>18969067333</v>
          </cell>
          <cell r="F5" t="str">
            <v>422827199008101442</v>
          </cell>
          <cell r="G5" t="str">
            <v>623061571017902565</v>
          </cell>
          <cell r="H5" t="str">
            <v>杭州银行九堡支行</v>
          </cell>
          <cell r="I5">
            <v>2500</v>
          </cell>
          <cell r="J5">
            <v>3815</v>
          </cell>
          <cell r="K5">
            <v>5000</v>
          </cell>
          <cell r="L5">
            <v>500</v>
          </cell>
          <cell r="M5">
            <v>0</v>
          </cell>
        </row>
        <row r="5">
          <cell r="P5">
            <v>0</v>
          </cell>
        </row>
        <row r="6">
          <cell r="C6" t="str">
            <v>潘琳玲</v>
          </cell>
          <cell r="D6">
            <v>44866</v>
          </cell>
          <cell r="E6">
            <v>13567162403</v>
          </cell>
          <cell r="F6" t="str">
            <v>332528198907244221</v>
          </cell>
          <cell r="G6" t="str">
            <v>6230910199086452006</v>
          </cell>
          <cell r="H6" t="str">
            <v>杭州联合银行</v>
          </cell>
          <cell r="I6">
            <v>2500</v>
          </cell>
          <cell r="J6">
            <v>9700</v>
          </cell>
          <cell r="K6">
            <v>2000</v>
          </cell>
          <cell r="L6">
            <v>500</v>
          </cell>
          <cell r="M6">
            <v>0</v>
          </cell>
        </row>
        <row r="6">
          <cell r="O6">
            <v>200</v>
          </cell>
          <cell r="P6">
            <v>100</v>
          </cell>
        </row>
        <row r="7">
          <cell r="C7" t="str">
            <v>李海美</v>
          </cell>
          <cell r="D7">
            <v>45047</v>
          </cell>
          <cell r="E7">
            <v>17364523048</v>
          </cell>
          <cell r="F7" t="str">
            <v>332528196605034641</v>
          </cell>
          <cell r="G7" t="str">
            <v>6214685060854913</v>
          </cell>
          <cell r="H7" t="str">
            <v>北京银行</v>
          </cell>
          <cell r="I7">
            <v>5000</v>
          </cell>
        </row>
        <row r="7">
          <cell r="M7">
            <v>0</v>
          </cell>
        </row>
        <row r="8">
          <cell r="C8" t="str">
            <v>王丽琴</v>
          </cell>
          <cell r="D8">
            <v>42226</v>
          </cell>
          <cell r="E8">
            <v>18105710822</v>
          </cell>
          <cell r="F8" t="str">
            <v>421127198902070843</v>
          </cell>
          <cell r="G8" t="str">
            <v>6230910199087977324</v>
          </cell>
          <cell r="H8" t="str">
            <v>杭州联合银行笕桥支行</v>
          </cell>
          <cell r="I8">
            <v>3504.19</v>
          </cell>
        </row>
        <row r="8">
          <cell r="M8">
            <v>0</v>
          </cell>
        </row>
        <row r="9">
          <cell r="C9" t="str">
            <v>刘隔</v>
          </cell>
          <cell r="D9">
            <v>44984</v>
          </cell>
          <cell r="E9">
            <v>18439436916</v>
          </cell>
          <cell r="F9" t="str">
            <v>412702199803203224</v>
          </cell>
          <cell r="G9" t="str">
            <v>6230910199159131206</v>
          </cell>
          <cell r="H9" t="str">
            <v>杭州联合银行石桥支行</v>
          </cell>
          <cell r="I9">
            <v>2500</v>
          </cell>
          <cell r="J9">
            <v>1000</v>
          </cell>
          <cell r="K9">
            <v>800</v>
          </cell>
          <cell r="L9">
            <v>300</v>
          </cell>
          <cell r="M9">
            <v>200</v>
          </cell>
        </row>
        <row r="9">
          <cell r="O9">
            <v>200</v>
          </cell>
        </row>
        <row r="10">
          <cell r="C10" t="str">
            <v>陶耀文</v>
          </cell>
          <cell r="D10">
            <v>42226</v>
          </cell>
          <cell r="E10">
            <v>15372003027</v>
          </cell>
          <cell r="F10" t="str">
            <v>421127198712014736</v>
          </cell>
          <cell r="G10" t="str">
            <v>6212261202020550050</v>
          </cell>
          <cell r="H10" t="str">
            <v>工行东新支行</v>
          </cell>
          <cell r="I10">
            <v>2500</v>
          </cell>
          <cell r="J10">
            <v>17000</v>
          </cell>
        </row>
        <row r="10">
          <cell r="L10">
            <v>500</v>
          </cell>
          <cell r="M10">
            <v>0</v>
          </cell>
        </row>
        <row r="10">
          <cell r="P10">
            <v>0</v>
          </cell>
          <cell r="Q10">
            <v>350</v>
          </cell>
        </row>
        <row r="11">
          <cell r="C11" t="str">
            <v>金丽萍</v>
          </cell>
          <cell r="D11">
            <v>44858</v>
          </cell>
          <cell r="E11">
            <v>13575710404</v>
          </cell>
          <cell r="F11" t="str">
            <v>622301198003200849</v>
          </cell>
          <cell r="G11" t="str">
            <v>6228580199074131466</v>
          </cell>
          <cell r="H11" t="str">
            <v>杭州联合银行</v>
          </cell>
          <cell r="I11">
            <v>2500</v>
          </cell>
          <cell r="J11">
            <v>3800</v>
          </cell>
          <cell r="K11">
            <v>1000</v>
          </cell>
          <cell r="L11">
            <v>300</v>
          </cell>
          <cell r="M11">
            <v>200</v>
          </cell>
        </row>
        <row r="11">
          <cell r="O11">
            <v>200</v>
          </cell>
        </row>
        <row r="12">
          <cell r="C12" t="str">
            <v>屠海霞</v>
          </cell>
          <cell r="D12">
            <v>44770</v>
          </cell>
          <cell r="E12">
            <v>15958138522</v>
          </cell>
          <cell r="F12" t="str">
            <v>330226199702036561</v>
          </cell>
          <cell r="G12" t="str">
            <v>6230910199150663132</v>
          </cell>
          <cell r="H12" t="str">
            <v>杭州联合银行石祥支行</v>
          </cell>
          <cell r="I12">
            <v>2500</v>
          </cell>
          <cell r="J12">
            <v>2800</v>
          </cell>
          <cell r="K12">
            <v>1000</v>
          </cell>
          <cell r="L12">
            <v>300</v>
          </cell>
          <cell r="M12">
            <v>200</v>
          </cell>
        </row>
        <row r="12">
          <cell r="O12">
            <v>200</v>
          </cell>
        </row>
        <row r="13">
          <cell r="C13" t="str">
            <v>连刘丹</v>
          </cell>
          <cell r="D13">
            <v>44991</v>
          </cell>
          <cell r="E13">
            <v>17858173711</v>
          </cell>
          <cell r="F13" t="str">
            <v>332527199903080424</v>
          </cell>
          <cell r="G13" t="str">
            <v>6228580999009440647</v>
          </cell>
          <cell r="H13" t="str">
            <v>杭州联合银行石祥支行</v>
          </cell>
          <cell r="I13">
            <v>2500</v>
          </cell>
          <cell r="J13">
            <v>1000</v>
          </cell>
          <cell r="K13">
            <v>800</v>
          </cell>
          <cell r="L13">
            <v>300</v>
          </cell>
          <cell r="M13">
            <v>200</v>
          </cell>
        </row>
        <row r="13">
          <cell r="O13">
            <v>200</v>
          </cell>
        </row>
        <row r="14">
          <cell r="C14" t="str">
            <v>辛菡芬</v>
          </cell>
          <cell r="D14">
            <v>44501</v>
          </cell>
          <cell r="E14">
            <v>13989868363</v>
          </cell>
          <cell r="F14" t="str">
            <v>36222719860708322X</v>
          </cell>
          <cell r="G14" t="str">
            <v>6230910199097519348</v>
          </cell>
          <cell r="H14" t="str">
            <v>杭州联合银行石桥支行</v>
          </cell>
          <cell r="I14">
            <v>2500</v>
          </cell>
          <cell r="J14">
            <v>3000</v>
          </cell>
          <cell r="K14">
            <v>1000</v>
          </cell>
        </row>
        <row r="14">
          <cell r="M14">
            <v>0</v>
          </cell>
        </row>
        <row r="14">
          <cell r="P14">
            <v>50</v>
          </cell>
          <cell r="Q14">
            <v>50</v>
          </cell>
        </row>
        <row r="15">
          <cell r="C15" t="str">
            <v>章佳洁</v>
          </cell>
          <cell r="D15">
            <v>45005</v>
          </cell>
          <cell r="E15">
            <v>18072792836</v>
          </cell>
          <cell r="F15" t="str">
            <v>33010319980304232X</v>
          </cell>
          <cell r="G15" t="str">
            <v>6230520320019710573</v>
          </cell>
          <cell r="H15" t="str">
            <v>杭州联合银行石桥支行</v>
          </cell>
          <cell r="I15">
            <v>2500</v>
          </cell>
          <cell r="J15">
            <v>1000</v>
          </cell>
          <cell r="K15">
            <v>1000</v>
          </cell>
          <cell r="L15">
            <v>300</v>
          </cell>
          <cell r="M15">
            <v>0</v>
          </cell>
        </row>
        <row r="15">
          <cell r="O15">
            <v>200</v>
          </cell>
        </row>
        <row r="16">
          <cell r="C16" t="str">
            <v>吴俊</v>
          </cell>
          <cell r="D16">
            <v>45072</v>
          </cell>
          <cell r="E16">
            <v>18705597262</v>
          </cell>
          <cell r="F16" t="str">
            <v>341226199710235758</v>
          </cell>
          <cell r="G16" t="str">
            <v>6230910199159125935</v>
          </cell>
          <cell r="H16" t="str">
            <v>杭州联合银行</v>
          </cell>
          <cell r="I16">
            <v>2500</v>
          </cell>
          <cell r="J16">
            <v>1440</v>
          </cell>
        </row>
        <row r="16">
          <cell r="L16">
            <v>300</v>
          </cell>
          <cell r="M16">
            <v>0</v>
          </cell>
        </row>
        <row r="16">
          <cell r="O16">
            <v>200</v>
          </cell>
        </row>
        <row r="17">
          <cell r="C17" t="str">
            <v>覃荣权</v>
          </cell>
          <cell r="D17">
            <v>45037</v>
          </cell>
          <cell r="E17">
            <v>18176023374</v>
          </cell>
          <cell r="F17" t="str">
            <v>450722199803126119</v>
          </cell>
        </row>
        <row r="17">
          <cell r="I17">
            <v>2500</v>
          </cell>
          <cell r="J17">
            <v>500</v>
          </cell>
          <cell r="K17">
            <v>1000</v>
          </cell>
          <cell r="L17">
            <v>300</v>
          </cell>
          <cell r="M17">
            <v>0</v>
          </cell>
        </row>
        <row r="17">
          <cell r="O17">
            <v>200</v>
          </cell>
        </row>
        <row r="18">
          <cell r="C18" t="str">
            <v>彭碧茂</v>
          </cell>
          <cell r="D18">
            <v>42226</v>
          </cell>
          <cell r="E18">
            <v>15325812580</v>
          </cell>
          <cell r="F18" t="str">
            <v>42282719930423141X</v>
          </cell>
          <cell r="G18" t="str">
            <v>6226227712933609</v>
          </cell>
          <cell r="H18" t="str">
            <v>杭州联合银行笕桥支行</v>
          </cell>
          <cell r="I18">
            <v>2500</v>
          </cell>
          <cell r="J18">
            <v>900</v>
          </cell>
          <cell r="K18">
            <v>3500</v>
          </cell>
          <cell r="L18">
            <v>300</v>
          </cell>
          <cell r="M18">
            <v>0</v>
          </cell>
          <cell r="N18">
            <v>1000</v>
          </cell>
        </row>
        <row r="18">
          <cell r="Q18">
            <v>350</v>
          </cell>
        </row>
        <row r="19">
          <cell r="C19" t="str">
            <v>赵洋博</v>
          </cell>
          <cell r="D19">
            <v>44858</v>
          </cell>
          <cell r="E19">
            <v>18832353835</v>
          </cell>
          <cell r="F19" t="str">
            <v>130626200003226235</v>
          </cell>
          <cell r="G19" t="str">
            <v>6230910199154750992</v>
          </cell>
          <cell r="H19" t="str">
            <v>中国民生银行</v>
          </cell>
          <cell r="I19">
            <v>2280</v>
          </cell>
        </row>
        <row r="19">
          <cell r="L19">
            <v>300</v>
          </cell>
          <cell r="M19">
            <v>0</v>
          </cell>
          <cell r="N19">
            <v>720</v>
          </cell>
          <cell r="O19">
            <v>200</v>
          </cell>
        </row>
        <row r="20">
          <cell r="C20" t="str">
            <v>杨小庞</v>
          </cell>
          <cell r="D20">
            <v>44930</v>
          </cell>
          <cell r="E20">
            <v>13750774064</v>
          </cell>
          <cell r="F20" t="str">
            <v>330481200009105013</v>
          </cell>
          <cell r="G20" t="str">
            <v>6230910199156255941</v>
          </cell>
          <cell r="H20" t="str">
            <v>杭州联合银行-石桥支行</v>
          </cell>
          <cell r="I20">
            <v>2500</v>
          </cell>
          <cell r="J20">
            <v>500</v>
          </cell>
          <cell r="K20">
            <v>1000</v>
          </cell>
          <cell r="L20">
            <v>300</v>
          </cell>
          <cell r="M20">
            <v>0</v>
          </cell>
        </row>
        <row r="20">
          <cell r="O20">
            <v>200</v>
          </cell>
        </row>
        <row r="21">
          <cell r="C21" t="str">
            <v>杨宇航</v>
          </cell>
          <cell r="D21">
            <v>45072</v>
          </cell>
          <cell r="E21">
            <v>18538246812</v>
          </cell>
          <cell r="F21" t="str">
            <v>410328200106104517</v>
          </cell>
        </row>
        <row r="21">
          <cell r="I21">
            <v>2500</v>
          </cell>
          <cell r="J21">
            <v>500</v>
          </cell>
          <cell r="K21">
            <v>500</v>
          </cell>
          <cell r="L21">
            <v>300</v>
          </cell>
          <cell r="M21">
            <v>0</v>
          </cell>
        </row>
        <row r="21">
          <cell r="O21">
            <v>200</v>
          </cell>
        </row>
        <row r="22">
          <cell r="C22" t="str">
            <v>肖添赢</v>
          </cell>
          <cell r="D22">
            <v>43993</v>
          </cell>
          <cell r="E22">
            <v>18806280707</v>
          </cell>
          <cell r="F22" t="str">
            <v>320684199504280022</v>
          </cell>
          <cell r="G22" t="str">
            <v>6230910199102181076</v>
          </cell>
          <cell r="H22" t="str">
            <v>杭州联合银行石桥支行</v>
          </cell>
          <cell r="I22">
            <v>2500</v>
          </cell>
          <cell r="J22">
            <v>2825</v>
          </cell>
          <cell r="K22">
            <v>1000</v>
          </cell>
          <cell r="L22">
            <v>300</v>
          </cell>
          <cell r="M22">
            <v>0</v>
          </cell>
        </row>
        <row r="22">
          <cell r="O22">
            <v>200</v>
          </cell>
        </row>
        <row r="22">
          <cell r="Q22">
            <v>100</v>
          </cell>
        </row>
        <row r="23">
          <cell r="C23" t="str">
            <v>严欣琳</v>
          </cell>
          <cell r="D23">
            <v>44804</v>
          </cell>
          <cell r="E23">
            <v>19972968261</v>
          </cell>
          <cell r="F23" t="str">
            <v>420625200008056223</v>
          </cell>
          <cell r="G23" t="str">
            <v>6230910199153810417</v>
          </cell>
          <cell r="H23" t="str">
            <v>杭州联合银行</v>
          </cell>
          <cell r="I23">
            <v>2500</v>
          </cell>
          <cell r="J23">
            <v>600</v>
          </cell>
          <cell r="K23">
            <v>700</v>
          </cell>
          <cell r="L23">
            <v>300</v>
          </cell>
          <cell r="M23">
            <v>0</v>
          </cell>
        </row>
        <row r="23">
          <cell r="O23">
            <v>200</v>
          </cell>
        </row>
        <row r="24">
          <cell r="C24" t="str">
            <v>余晶晶</v>
          </cell>
          <cell r="D24">
            <v>44984</v>
          </cell>
          <cell r="E24">
            <v>15356126485</v>
          </cell>
          <cell r="F24" t="str">
            <v>341022199704060721</v>
          </cell>
          <cell r="G24" t="str">
            <v>6230910199159131214</v>
          </cell>
          <cell r="H24" t="str">
            <v>杭州联合银行石桥支行</v>
          </cell>
          <cell r="I24">
            <v>2500</v>
          </cell>
          <cell r="J24">
            <v>1500</v>
          </cell>
          <cell r="K24">
            <v>1000</v>
          </cell>
          <cell r="L24">
            <v>300</v>
          </cell>
          <cell r="M24">
            <v>0</v>
          </cell>
        </row>
        <row r="24">
          <cell r="O24">
            <v>200</v>
          </cell>
        </row>
        <row r="25">
          <cell r="C25" t="str">
            <v>叶丽芳</v>
          </cell>
          <cell r="D25">
            <v>44846</v>
          </cell>
          <cell r="E25">
            <v>18858293693</v>
          </cell>
          <cell r="F25" t="str">
            <v>362226199411240324</v>
          </cell>
          <cell r="G25" t="str">
            <v>6230910199154658997</v>
          </cell>
          <cell r="H25" t="str">
            <v>杭州联合银行-石桥支行</v>
          </cell>
          <cell r="I25">
            <v>3500</v>
          </cell>
        </row>
        <row r="25">
          <cell r="M25">
            <v>0</v>
          </cell>
        </row>
        <row r="26">
          <cell r="C26" t="str">
            <v>沈艳</v>
          </cell>
          <cell r="D26">
            <v>45072</v>
          </cell>
          <cell r="E26">
            <v>15268509209</v>
          </cell>
          <cell r="F26" t="str">
            <v>330184199209092322</v>
          </cell>
          <cell r="G26" t="str">
            <v>6230910199060498587</v>
          </cell>
          <cell r="H26" t="str">
            <v>杭州联合银行</v>
          </cell>
          <cell r="I26">
            <v>2500</v>
          </cell>
          <cell r="J26">
            <v>1000</v>
          </cell>
          <cell r="K26">
            <v>1000</v>
          </cell>
          <cell r="L26">
            <v>300</v>
          </cell>
          <cell r="M26">
            <v>0</v>
          </cell>
        </row>
        <row r="26">
          <cell r="O26">
            <v>200</v>
          </cell>
        </row>
        <row r="27">
          <cell r="C27" t="str">
            <v>胡琴</v>
          </cell>
          <cell r="D27">
            <v>44991</v>
          </cell>
          <cell r="E27">
            <v>18867507640</v>
          </cell>
          <cell r="F27" t="str">
            <v>362330199302070020</v>
          </cell>
          <cell r="G27" t="str">
            <v>6230910199113408302</v>
          </cell>
          <cell r="H27" t="str">
            <v>杭州联合银行-湖畔支行</v>
          </cell>
          <cell r="I27">
            <v>2500</v>
          </cell>
          <cell r="J27">
            <v>2240</v>
          </cell>
          <cell r="K27">
            <v>1000</v>
          </cell>
          <cell r="L27">
            <v>300</v>
          </cell>
          <cell r="M27">
            <v>0</v>
          </cell>
        </row>
        <row r="27">
          <cell r="O27">
            <v>200</v>
          </cell>
        </row>
        <row r="28">
          <cell r="C28" t="str">
            <v>王浩轩</v>
          </cell>
          <cell r="D28">
            <v>45040</v>
          </cell>
          <cell r="E28">
            <v>15572211489</v>
          </cell>
          <cell r="F28" t="str">
            <v>411330199907082917</v>
          </cell>
          <cell r="G28" t="str">
            <v>6230910199161296567</v>
          </cell>
          <cell r="H28" t="str">
            <v>杭州联合银行</v>
          </cell>
          <cell r="I28">
            <v>2500</v>
          </cell>
        </row>
        <row r="28">
          <cell r="K28">
            <v>800</v>
          </cell>
          <cell r="L28">
            <v>300</v>
          </cell>
          <cell r="M28">
            <v>0</v>
          </cell>
        </row>
        <row r="28">
          <cell r="O28">
            <v>200</v>
          </cell>
        </row>
        <row r="29">
          <cell r="C29" t="str">
            <v>杨树</v>
          </cell>
          <cell r="D29">
            <v>43552</v>
          </cell>
          <cell r="E29">
            <v>15335801853</v>
          </cell>
          <cell r="F29" t="str">
            <v>422802198407285451</v>
          </cell>
          <cell r="G29" t="str">
            <v>6230910199087977282</v>
          </cell>
          <cell r="H29" t="str">
            <v>杭州联合银行笕桥支行</v>
          </cell>
          <cell r="I29">
            <v>2500</v>
          </cell>
          <cell r="J29">
            <v>1500</v>
          </cell>
          <cell r="K29">
            <v>2000</v>
          </cell>
          <cell r="L29">
            <v>300</v>
          </cell>
          <cell r="M29">
            <v>0</v>
          </cell>
          <cell r="N29">
            <v>1000</v>
          </cell>
          <cell r="O29">
            <v>200</v>
          </cell>
        </row>
        <row r="29">
          <cell r="Q29">
            <v>200</v>
          </cell>
        </row>
        <row r="30">
          <cell r="C30" t="str">
            <v>余峰</v>
          </cell>
          <cell r="D30">
            <v>43679</v>
          </cell>
          <cell r="E30">
            <v>13757131242</v>
          </cell>
          <cell r="F30" t="str">
            <v>362325198407262955</v>
          </cell>
          <cell r="G30" t="str">
            <v>6230910199086451909</v>
          </cell>
          <cell r="H30" t="str">
            <v>杭州联合银行笕桥支行</v>
          </cell>
          <cell r="I30">
            <v>2500</v>
          </cell>
          <cell r="J30">
            <v>1000</v>
          </cell>
          <cell r="K30">
            <v>1000</v>
          </cell>
          <cell r="L30">
            <v>300</v>
          </cell>
          <cell r="M30">
            <v>0</v>
          </cell>
          <cell r="N30">
            <v>1000</v>
          </cell>
          <cell r="O30">
            <v>200</v>
          </cell>
        </row>
        <row r="30">
          <cell r="Q30">
            <v>150</v>
          </cell>
        </row>
        <row r="31">
          <cell r="C31" t="str">
            <v>廖玉苗</v>
          </cell>
          <cell r="D31">
            <v>43959</v>
          </cell>
          <cell r="E31">
            <v>18972408123</v>
          </cell>
          <cell r="F31" t="str">
            <v>422802199104072111</v>
          </cell>
          <cell r="G31" t="str">
            <v>6230910199102145659</v>
          </cell>
          <cell r="H31" t="str">
            <v>杭州联合银行石桥支行</v>
          </cell>
          <cell r="I31">
            <v>2500</v>
          </cell>
          <cell r="J31">
            <v>1900</v>
          </cell>
          <cell r="K31">
            <v>1000</v>
          </cell>
          <cell r="L31">
            <v>300</v>
          </cell>
          <cell r="M31">
            <v>0</v>
          </cell>
          <cell r="N31">
            <v>1000</v>
          </cell>
          <cell r="O31">
            <v>200</v>
          </cell>
        </row>
        <row r="31">
          <cell r="Q31">
            <v>150</v>
          </cell>
        </row>
        <row r="32">
          <cell r="C32" t="str">
            <v>谢江</v>
          </cell>
          <cell r="D32">
            <v>44571</v>
          </cell>
          <cell r="E32">
            <v>17816051507</v>
          </cell>
          <cell r="F32" t="str">
            <v>500236200010073417</v>
          </cell>
          <cell r="G32" t="str">
            <v>6230910199029117468</v>
          </cell>
          <cell r="H32" t="str">
            <v>杭州联合银行</v>
          </cell>
          <cell r="I32">
            <v>2500</v>
          </cell>
          <cell r="J32">
            <v>300</v>
          </cell>
          <cell r="K32">
            <v>500</v>
          </cell>
          <cell r="L32">
            <v>300</v>
          </cell>
          <cell r="M32">
            <v>0</v>
          </cell>
          <cell r="N32">
            <v>1000</v>
          </cell>
          <cell r="O32">
            <v>200</v>
          </cell>
        </row>
        <row r="32">
          <cell r="Q32">
            <v>50</v>
          </cell>
        </row>
        <row r="33">
          <cell r="C33" t="str">
            <v>叶万里</v>
          </cell>
          <cell r="D33">
            <v>44693</v>
          </cell>
          <cell r="E33">
            <v>18010770879</v>
          </cell>
          <cell r="F33" t="str">
            <v>342623199711241416</v>
          </cell>
          <cell r="G33" t="str">
            <v>6230910199132878816</v>
          </cell>
          <cell r="H33" t="str">
            <v>杭州联合银行石桥支行</v>
          </cell>
          <cell r="I33">
            <v>2500</v>
          </cell>
          <cell r="J33">
            <v>300</v>
          </cell>
          <cell r="K33">
            <v>500</v>
          </cell>
          <cell r="L33">
            <v>300</v>
          </cell>
          <cell r="M33">
            <v>0</v>
          </cell>
          <cell r="N33">
            <v>1000</v>
          </cell>
          <cell r="O33">
            <v>200</v>
          </cell>
          <cell r="P33">
            <v>100</v>
          </cell>
          <cell r="Q33">
            <v>50</v>
          </cell>
        </row>
        <row r="34">
          <cell r="C34" t="str">
            <v>周蒙达</v>
          </cell>
          <cell r="D34">
            <v>44975</v>
          </cell>
          <cell r="E34">
            <v>17636359342</v>
          </cell>
          <cell r="F34" t="str">
            <v>140427200112270814</v>
          </cell>
          <cell r="G34" t="str">
            <v>6230910199150605356</v>
          </cell>
          <cell r="H34" t="str">
            <v>杭州联合银行</v>
          </cell>
          <cell r="I34">
            <v>2500</v>
          </cell>
          <cell r="J34">
            <v>200</v>
          </cell>
        </row>
        <row r="34">
          <cell r="L34">
            <v>300</v>
          </cell>
          <cell r="M34">
            <v>0</v>
          </cell>
          <cell r="N34">
            <v>1000</v>
          </cell>
          <cell r="O34">
            <v>200</v>
          </cell>
        </row>
        <row r="35">
          <cell r="C35" t="str">
            <v>练家乐</v>
          </cell>
          <cell r="D35">
            <v>44753</v>
          </cell>
          <cell r="E35">
            <v>15136024280</v>
          </cell>
          <cell r="F35" t="str">
            <v>411481200101221237</v>
          </cell>
          <cell r="G35" t="str">
            <v>6230910199146592700</v>
          </cell>
          <cell r="H35" t="str">
            <v>杭州联合银行-东新支行</v>
          </cell>
          <cell r="I35">
            <v>2500</v>
          </cell>
          <cell r="J35">
            <v>200</v>
          </cell>
        </row>
        <row r="35">
          <cell r="M35">
            <v>0</v>
          </cell>
          <cell r="N35">
            <v>1000</v>
          </cell>
        </row>
        <row r="36">
          <cell r="C36" t="str">
            <v>阮隆南</v>
          </cell>
          <cell r="D36">
            <v>44801</v>
          </cell>
          <cell r="E36">
            <v>19914579482</v>
          </cell>
          <cell r="F36" t="str">
            <v>362302200008243517</v>
          </cell>
          <cell r="G36" t="str">
            <v>6230910199153519216</v>
          </cell>
          <cell r="H36" t="str">
            <v>杭州联合银行-吴山支行</v>
          </cell>
          <cell r="I36">
            <v>2500</v>
          </cell>
          <cell r="J36">
            <v>200</v>
          </cell>
        </row>
        <row r="36">
          <cell r="L36">
            <v>300</v>
          </cell>
          <cell r="M36">
            <v>0</v>
          </cell>
          <cell r="N36">
            <v>1000</v>
          </cell>
          <cell r="O36">
            <v>200</v>
          </cell>
        </row>
        <row r="37">
          <cell r="C37" t="str">
            <v>潘郁求</v>
          </cell>
          <cell r="D37">
            <v>44804</v>
          </cell>
          <cell r="E37">
            <v>15607742921</v>
          </cell>
          <cell r="F37" t="str">
            <v>452730200112114415</v>
          </cell>
          <cell r="G37" t="str">
            <v>6230910199153795311</v>
          </cell>
          <cell r="H37" t="str">
            <v>杭州联合银行石桥支行</v>
          </cell>
          <cell r="I37">
            <v>2500</v>
          </cell>
          <cell r="J37">
            <v>200</v>
          </cell>
        </row>
        <row r="37">
          <cell r="L37">
            <v>300</v>
          </cell>
          <cell r="M37">
            <v>0</v>
          </cell>
          <cell r="N37">
            <v>1000</v>
          </cell>
          <cell r="O37">
            <v>200</v>
          </cell>
        </row>
        <row r="38">
          <cell r="C38" t="str">
            <v>马晨宇</v>
          </cell>
          <cell r="D38">
            <v>44965</v>
          </cell>
          <cell r="E38">
            <v>15335806567</v>
          </cell>
          <cell r="F38" t="str">
            <v>422802200512200018</v>
          </cell>
          <cell r="G38" t="str">
            <v>6230910199162000752</v>
          </cell>
          <cell r="H38" t="str">
            <v>杭州联合银行</v>
          </cell>
          <cell r="I38">
            <v>2280</v>
          </cell>
        </row>
        <row r="38">
          <cell r="L38">
            <v>300</v>
          </cell>
          <cell r="M38">
            <v>0</v>
          </cell>
          <cell r="N38">
            <v>720</v>
          </cell>
          <cell r="O38">
            <v>200</v>
          </cell>
        </row>
        <row r="39">
          <cell r="C39" t="str">
            <v>赵华瑞</v>
          </cell>
          <cell r="D39">
            <v>44809</v>
          </cell>
          <cell r="E39">
            <v>15555808197</v>
          </cell>
          <cell r="F39" t="str">
            <v>341282200208124936</v>
          </cell>
          <cell r="G39" t="str">
            <v>6230910199153774605</v>
          </cell>
          <cell r="H39" t="str">
            <v>杭州联合银行石祥支行</v>
          </cell>
          <cell r="I39">
            <v>2500</v>
          </cell>
          <cell r="J39">
            <v>200</v>
          </cell>
        </row>
        <row r="39">
          <cell r="L39">
            <v>300</v>
          </cell>
          <cell r="M39">
            <v>0</v>
          </cell>
          <cell r="N39">
            <v>1000</v>
          </cell>
          <cell r="O39">
            <v>200</v>
          </cell>
        </row>
        <row r="40">
          <cell r="C40" t="str">
            <v>赖翔</v>
          </cell>
          <cell r="D40">
            <v>44958</v>
          </cell>
          <cell r="E40">
            <v>18370454724</v>
          </cell>
          <cell r="F40" t="str">
            <v>360781199903061031</v>
          </cell>
          <cell r="G40" t="str">
            <v>6230910199156484079</v>
          </cell>
          <cell r="H40" t="str">
            <v>杭州联合银行石桥支行</v>
          </cell>
          <cell r="I40">
            <v>2280</v>
          </cell>
        </row>
        <row r="40">
          <cell r="L40">
            <v>300</v>
          </cell>
          <cell r="M40">
            <v>0</v>
          </cell>
          <cell r="N40">
            <v>720</v>
          </cell>
          <cell r="O40">
            <v>200</v>
          </cell>
        </row>
        <row r="41">
          <cell r="C41" t="str">
            <v>黄熙文</v>
          </cell>
          <cell r="D41">
            <v>44924</v>
          </cell>
          <cell r="E41">
            <v>15270743879</v>
          </cell>
          <cell r="F41" t="str">
            <v>360781200205262931</v>
          </cell>
          <cell r="G41" t="str">
            <v>6230910199156190379</v>
          </cell>
          <cell r="H41" t="str">
            <v>杭州联合银行-石桥支行</v>
          </cell>
          <cell r="I41">
            <v>2280</v>
          </cell>
        </row>
        <row r="41">
          <cell r="L41">
            <v>300</v>
          </cell>
          <cell r="M41">
            <v>0</v>
          </cell>
          <cell r="N41">
            <v>720</v>
          </cell>
          <cell r="O41">
            <v>200</v>
          </cell>
        </row>
        <row r="42">
          <cell r="C42" t="str">
            <v>周晓珍</v>
          </cell>
          <cell r="D42">
            <v>45103</v>
          </cell>
          <cell r="E42">
            <v>15158212890</v>
          </cell>
          <cell r="F42" t="str">
            <v>362421199710265029</v>
          </cell>
          <cell r="G42" t="str">
            <v>6230910199088030453</v>
          </cell>
          <cell r="H42" t="str">
            <v>杭州联合银行-东新支行</v>
          </cell>
          <cell r="I42">
            <v>2500</v>
          </cell>
          <cell r="J42">
            <v>1440</v>
          </cell>
          <cell r="K42">
            <v>1000</v>
          </cell>
          <cell r="L42">
            <v>300</v>
          </cell>
          <cell r="M42">
            <v>0</v>
          </cell>
        </row>
        <row r="42">
          <cell r="O42">
            <v>200</v>
          </cell>
        </row>
        <row r="43">
          <cell r="I43">
            <v>101124.19</v>
          </cell>
          <cell r="J43">
            <v>74560</v>
          </cell>
          <cell r="K43">
            <v>30100</v>
          </cell>
          <cell r="L43">
            <v>11000</v>
          </cell>
          <cell r="M43">
            <v>800</v>
          </cell>
          <cell r="N43">
            <v>13880</v>
          </cell>
          <cell r="O43">
            <v>6000</v>
          </cell>
          <cell r="P43">
            <v>250</v>
          </cell>
          <cell r="Q43">
            <v>1800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-----导入前必读-----"/>
      <sheetName val="基本信息"/>
      <sheetName val="花名册隐藏下拉框"/>
      <sheetName val="银行卡信息"/>
    </sheetNames>
    <sheetDataSet>
      <sheetData sheetId="0"/>
      <sheetData sheetId="1"/>
      <sheetData sheetId="2"/>
      <sheetData sheetId="3">
        <row r="1">
          <cell r="B1" t="str">
            <v>姓名</v>
          </cell>
          <cell r="C1" t="str">
            <v>银行卡号</v>
          </cell>
        </row>
        <row r="2">
          <cell r="B2" t="str">
            <v>余峰</v>
          </cell>
          <cell r="C2" t="str">
            <v/>
          </cell>
        </row>
        <row r="3">
          <cell r="B3" t="str">
            <v>罗艳刚</v>
          </cell>
          <cell r="C3" t="str">
            <v/>
          </cell>
        </row>
        <row r="4">
          <cell r="B4" t="str">
            <v>覃荣权</v>
          </cell>
          <cell r="C4" t="str">
            <v>6230910199153548140</v>
          </cell>
        </row>
        <row r="5">
          <cell r="B5" t="str">
            <v>彭小芹</v>
          </cell>
        </row>
        <row r="6">
          <cell r="B6" t="str">
            <v>叶丽芳</v>
          </cell>
          <cell r="C6" t="str">
            <v/>
          </cell>
        </row>
        <row r="7">
          <cell r="B7" t="str">
            <v>陈刚</v>
          </cell>
          <cell r="C7" t="str">
            <v>6217992900050511026</v>
          </cell>
        </row>
        <row r="8">
          <cell r="B8" t="str">
            <v>程能燕</v>
          </cell>
          <cell r="C8" t="str">
            <v>6230910199161463621</v>
          </cell>
        </row>
        <row r="9">
          <cell r="B9" t="str">
            <v>缪磊</v>
          </cell>
          <cell r="C9" t="str">
            <v>6230910199166242665</v>
          </cell>
        </row>
        <row r="10">
          <cell r="B10" t="str">
            <v>赖翔</v>
          </cell>
          <cell r="C10" t="str">
            <v/>
          </cell>
        </row>
        <row r="11">
          <cell r="B11" t="str">
            <v>潘郁求</v>
          </cell>
          <cell r="C11" t="str">
            <v/>
          </cell>
        </row>
        <row r="12">
          <cell r="B12" t="str">
            <v>黄熙文</v>
          </cell>
          <cell r="C12" t="str">
            <v>6230910199156190379</v>
          </cell>
        </row>
        <row r="13">
          <cell r="B13" t="str">
            <v>廖玉苗</v>
          </cell>
          <cell r="C13" t="str">
            <v/>
          </cell>
        </row>
        <row r="14">
          <cell r="B14" t="str">
            <v>陶琦</v>
          </cell>
          <cell r="C14" t="str">
            <v>6212261202026616905</v>
          </cell>
        </row>
        <row r="15">
          <cell r="B15" t="str">
            <v>周蒙达</v>
          </cell>
          <cell r="C15" t="str">
            <v/>
          </cell>
        </row>
        <row r="16">
          <cell r="B16" t="str">
            <v>连刘丹</v>
          </cell>
          <cell r="C16" t="str">
            <v>6228580999009440647</v>
          </cell>
        </row>
        <row r="17">
          <cell r="B17" t="str">
            <v>刘隔</v>
          </cell>
          <cell r="C17" t="str">
            <v/>
          </cell>
        </row>
        <row r="18">
          <cell r="B18" t="str">
            <v>严欣琳</v>
          </cell>
          <cell r="C18" t="str">
            <v/>
          </cell>
        </row>
        <row r="19">
          <cell r="B19" t="str">
            <v>余晶晶</v>
          </cell>
          <cell r="C19" t="str">
            <v/>
          </cell>
        </row>
        <row r="20">
          <cell r="B20" t="str">
            <v>谢江</v>
          </cell>
          <cell r="C20" t="str">
            <v/>
          </cell>
        </row>
        <row r="21">
          <cell r="B21" t="str">
            <v>章佳洁</v>
          </cell>
          <cell r="C21" t="str">
            <v>6230910199039362583</v>
          </cell>
        </row>
        <row r="22">
          <cell r="B22" t="str">
            <v>王冬梅</v>
          </cell>
        </row>
        <row r="23">
          <cell r="B23" t="str">
            <v>陶耀斌</v>
          </cell>
          <cell r="C23" t="str">
            <v>6212261202020647369</v>
          </cell>
        </row>
        <row r="24">
          <cell r="B24" t="str">
            <v>陶晋</v>
          </cell>
        </row>
        <row r="25">
          <cell r="B25" t="str">
            <v>汪衡</v>
          </cell>
          <cell r="C25" t="str">
            <v>6230910199162790600</v>
          </cell>
        </row>
        <row r="26">
          <cell r="B26" t="str">
            <v>陶耀文</v>
          </cell>
          <cell r="C26" t="str">
            <v>6212261202020550050</v>
          </cell>
        </row>
        <row r="27">
          <cell r="B27" t="str">
            <v>肖添赢</v>
          </cell>
          <cell r="C27" t="str">
            <v/>
          </cell>
        </row>
        <row r="28">
          <cell r="B28" t="str">
            <v>郑逸群</v>
          </cell>
          <cell r="C28" t="str">
            <v>000000000000</v>
          </cell>
        </row>
        <row r="29">
          <cell r="B29" t="str">
            <v>叶万里</v>
          </cell>
          <cell r="C29" t="str">
            <v>6230910199132878816</v>
          </cell>
        </row>
        <row r="30">
          <cell r="B30" t="str">
            <v>赵洋博</v>
          </cell>
          <cell r="C30" t="str">
            <v/>
          </cell>
        </row>
        <row r="31">
          <cell r="B31" t="str">
            <v>小翼</v>
          </cell>
        </row>
        <row r="32">
          <cell r="B32" t="str">
            <v>周逸晋</v>
          </cell>
          <cell r="C32" t="str">
            <v>6230910199159598792</v>
          </cell>
        </row>
        <row r="33">
          <cell r="B33" t="str">
            <v>马晨宇</v>
          </cell>
          <cell r="C33" t="str">
            <v/>
          </cell>
        </row>
        <row r="34">
          <cell r="B34" t="str">
            <v>杨树</v>
          </cell>
          <cell r="C34" t="str">
            <v/>
          </cell>
        </row>
        <row r="35">
          <cell r="B35" t="str">
            <v>吴芮阳</v>
          </cell>
          <cell r="C35" t="str">
            <v>6230910199162790691</v>
          </cell>
        </row>
        <row r="36">
          <cell r="B36" t="str">
            <v>潘洪波</v>
          </cell>
          <cell r="C36" t="str">
            <v/>
          </cell>
        </row>
        <row r="37">
          <cell r="B37" t="str">
            <v>黄培豪</v>
          </cell>
          <cell r="C37" t="str">
            <v>6217857000082529213</v>
          </cell>
        </row>
        <row r="38">
          <cell r="B38" t="str">
            <v>金丽萍</v>
          </cell>
          <cell r="C38" t="str">
            <v/>
          </cell>
        </row>
        <row r="39">
          <cell r="B39" t="str">
            <v>彭碧茂</v>
          </cell>
          <cell r="C39" t="str">
            <v>6212261202037074185</v>
          </cell>
        </row>
        <row r="40">
          <cell r="B40" t="str">
            <v>沈艳</v>
          </cell>
          <cell r="C40" t="str">
            <v>6230910199060498587</v>
          </cell>
        </row>
        <row r="41">
          <cell r="B41" t="str">
            <v>范海燕</v>
          </cell>
          <cell r="C41" t="str">
            <v>6230970199162963124</v>
          </cell>
        </row>
        <row r="42">
          <cell r="B42" t="str">
            <v>屠海霞</v>
          </cell>
          <cell r="C42" t="str">
            <v/>
          </cell>
        </row>
        <row r="43">
          <cell r="B43" t="str">
            <v>潘琳玲</v>
          </cell>
          <cell r="C43" t="str">
            <v>6212261202027337865</v>
          </cell>
        </row>
        <row r="44">
          <cell r="B44" t="str">
            <v>罗勇军</v>
          </cell>
          <cell r="C44" t="str">
            <v>6217003800048170249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-----导入前必读-----"/>
      <sheetName val="基本信息"/>
      <sheetName val="花名册隐藏下拉框"/>
      <sheetName val="个人信息"/>
      <sheetName val="工作信息"/>
      <sheetName val="银行卡信息"/>
      <sheetName val="学历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B1" t="str">
            <v>姓名</v>
          </cell>
          <cell r="C1" t="str">
            <v>银行卡号</v>
          </cell>
          <cell r="D1" t="str">
            <v>开户银行</v>
          </cell>
        </row>
        <row r="2">
          <cell r="B2" t="str">
            <v>李银港</v>
          </cell>
          <cell r="C2" t="str">
            <v>6214850239902437</v>
          </cell>
          <cell r="D2" t="str">
            <v>招商银行重庆高新支行</v>
          </cell>
        </row>
        <row r="3">
          <cell r="B3" t="str">
            <v>孙俊彦</v>
          </cell>
          <cell r="C3" t="str">
            <v>6230910199171926930</v>
          </cell>
          <cell r="D3" t="str">
            <v>杭州联合银行(杭州石祥支行)</v>
          </cell>
        </row>
        <row r="4">
          <cell r="B4" t="str">
            <v>张岩</v>
          </cell>
          <cell r="C4" t="str">
            <v>6230910199171965698</v>
          </cell>
          <cell r="D4" t="str">
            <v>石桥支行</v>
          </cell>
        </row>
        <row r="5">
          <cell r="B5" t="str">
            <v>方海镇</v>
          </cell>
          <cell r="C5" t="str">
            <v>6230910199167296132</v>
          </cell>
          <cell r="D5" t="str">
            <v>杭州联合银行(石祥支行)</v>
          </cell>
        </row>
        <row r="6">
          <cell r="B6" t="str">
            <v>王丽</v>
          </cell>
          <cell r="C6" t="str">
            <v>6214 8323 1133 6437</v>
          </cell>
          <cell r="D6" t="str">
            <v>重庆市沙坪坝区招商银行分行</v>
          </cell>
        </row>
        <row r="7">
          <cell r="B7" t="str">
            <v>朱家银</v>
          </cell>
          <cell r="C7" t="str">
            <v>6212263100025840732</v>
          </cell>
          <cell r="D7" t="str">
            <v>中国工商银行（重庆市沙坪坝烈士墓支行）</v>
          </cell>
        </row>
        <row r="8">
          <cell r="B8" t="str">
            <v>胡林林</v>
          </cell>
          <cell r="C8" t="str">
            <v>6230910199171843580</v>
          </cell>
          <cell r="D8" t="str">
            <v>石祥支行</v>
          </cell>
        </row>
        <row r="9">
          <cell r="B9" t="str">
            <v>汤凯</v>
          </cell>
          <cell r="C9" t="str">
            <v>000000000000000</v>
          </cell>
          <cell r="D9" t="str">
            <v>000000000000000</v>
          </cell>
        </row>
        <row r="10">
          <cell r="B10" t="str">
            <v>杨璐</v>
          </cell>
          <cell r="C10" t="str">
            <v>6228580199085264066</v>
          </cell>
          <cell r="D10" t="str">
            <v>浙江农商联合银行 储蓄卡</v>
          </cell>
        </row>
        <row r="11">
          <cell r="B11" t="str">
            <v>齐蔓青</v>
          </cell>
          <cell r="C11" t="str">
            <v>6230910199171843242</v>
          </cell>
          <cell r="D11" t="str">
            <v>杭州联合银行(石祥支行)</v>
          </cell>
        </row>
        <row r="12">
          <cell r="B12" t="str">
            <v>翟洪权</v>
          </cell>
          <cell r="C12" t="str">
            <v>6230910199094041551</v>
          </cell>
          <cell r="D12" t="str">
            <v>杭州联合银行石祥支行</v>
          </cell>
        </row>
        <row r="13">
          <cell r="B13" t="str">
            <v>汪雪琴</v>
          </cell>
          <cell r="C13" t="str">
            <v>6230910199171775790</v>
          </cell>
          <cell r="D13" t="str">
            <v>杭州联合银行石祥支行</v>
          </cell>
        </row>
        <row r="14">
          <cell r="B14" t="str">
            <v>祝如松</v>
          </cell>
          <cell r="C14" t="str">
            <v>6230910199128475882</v>
          </cell>
          <cell r="D14" t="str">
            <v>杭州联合银行石桥支行</v>
          </cell>
        </row>
        <row r="15">
          <cell r="B15" t="str">
            <v>李克诚</v>
          </cell>
          <cell r="C15" t="str">
            <v>6230910199171775758</v>
          </cell>
          <cell r="D15" t="str">
            <v>杭州联合银行石祥支行</v>
          </cell>
        </row>
        <row r="16">
          <cell r="B16" t="str">
            <v>蔡文姬</v>
          </cell>
          <cell r="C16" t="str">
            <v>6230910199156254704</v>
          </cell>
          <cell r="D16" t="str">
            <v>杭州联合银行祥符支行</v>
          </cell>
        </row>
        <row r="17">
          <cell r="B17" t="str">
            <v>刘依龙</v>
          </cell>
          <cell r="C17" t="str">
            <v>6230910199171656115</v>
          </cell>
          <cell r="D17" t="str">
            <v>浙江农商联合银行石祥支行</v>
          </cell>
        </row>
        <row r="18">
          <cell r="B18" t="str">
            <v>郑旭旦</v>
          </cell>
          <cell r="C18" t="str">
            <v>6230910199171655802</v>
          </cell>
          <cell r="D18" t="str">
            <v>杭州联合银行石桥支行</v>
          </cell>
        </row>
        <row r="19">
          <cell r="B19" t="str">
            <v>沈冬春</v>
          </cell>
          <cell r="C19" t="str">
            <v>6230910199171655851</v>
          </cell>
          <cell r="D19" t="str">
            <v>石祥支行</v>
          </cell>
        </row>
        <row r="20">
          <cell r="B20" t="str">
            <v>孙倩</v>
          </cell>
          <cell r="C20" t="str">
            <v>6230910199171655877</v>
          </cell>
          <cell r="D20" t="str">
            <v>杭州联合银行石桥支行</v>
          </cell>
        </row>
        <row r="21">
          <cell r="B21" t="str">
            <v>吴文凯</v>
          </cell>
          <cell r="C21" t="str">
            <v>6230910199171655869</v>
          </cell>
          <cell r="D21" t="str">
            <v>石桥支行</v>
          </cell>
        </row>
        <row r="22">
          <cell r="B22" t="str">
            <v>陈素洁</v>
          </cell>
          <cell r="C22" t="str">
            <v>6230910199171655935</v>
          </cell>
          <cell r="D22" t="str">
            <v>杭州联合银行石祥支行</v>
          </cell>
        </row>
        <row r="23">
          <cell r="B23" t="str">
            <v>张宸</v>
          </cell>
          <cell r="C23" t="str">
            <v>6228480059800915478</v>
          </cell>
          <cell r="D23" t="str">
            <v>中国农业银行武汉南湖支行</v>
          </cell>
        </row>
        <row r="24">
          <cell r="B24" t="str">
            <v>李龙剑</v>
          </cell>
          <cell r="C24" t="str">
            <v>6214832758283217</v>
          </cell>
          <cell r="D24" t="str">
            <v>招商银行武汉新城银行</v>
          </cell>
        </row>
        <row r="25">
          <cell r="B25" t="str">
            <v>达钰洁</v>
          </cell>
          <cell r="C25" t="str">
            <v>6230910199159576269</v>
          </cell>
          <cell r="D25" t="str">
            <v>杭州联合银行石桥支行</v>
          </cell>
        </row>
        <row r="26">
          <cell r="B26" t="str">
            <v>丁琛琛</v>
          </cell>
          <cell r="C26" t="str">
            <v>6228480218794960078</v>
          </cell>
          <cell r="D26" t="str">
            <v>西安科技路支行</v>
          </cell>
        </row>
        <row r="27">
          <cell r="B27" t="str">
            <v>邓敏敏</v>
          </cell>
          <cell r="C27" t="str">
            <v>6213326200001240536</v>
          </cell>
          <cell r="D27" t="str">
            <v>温州市文成县大峃支行</v>
          </cell>
        </row>
        <row r="28">
          <cell r="B28" t="str">
            <v>姚晨阳</v>
          </cell>
          <cell r="C28" t="str">
            <v>6230910199167394937</v>
          </cell>
          <cell r="D28" t="str">
            <v>石桥支行</v>
          </cell>
        </row>
        <row r="29">
          <cell r="B29" t="str">
            <v>凌天</v>
          </cell>
          <cell r="C29" t="str">
            <v>0000000000000000</v>
          </cell>
          <cell r="D29" t="str">
            <v>杭州联合银行石祥支行</v>
          </cell>
        </row>
        <row r="30">
          <cell r="B30" t="str">
            <v>柏涛</v>
          </cell>
          <cell r="C30" t="str">
            <v>6230910199167394994</v>
          </cell>
          <cell r="D30" t="str">
            <v>杭州联合银行（石祥支行）</v>
          </cell>
        </row>
        <row r="31">
          <cell r="B31" t="str">
            <v>邹海金</v>
          </cell>
          <cell r="C31" t="str">
            <v>6230910199167395157</v>
          </cell>
          <cell r="D31" t="str">
            <v>杭州联合银行石桥支行</v>
          </cell>
        </row>
        <row r="32">
          <cell r="B32" t="str">
            <v>赵冶</v>
          </cell>
          <cell r="C32" t="str">
            <v>6230910199167395330</v>
          </cell>
          <cell r="D32" t="str">
            <v>杭州联合银行石祥支行</v>
          </cell>
        </row>
        <row r="33">
          <cell r="B33" t="str">
            <v>张晓</v>
          </cell>
          <cell r="C33" t="str">
            <v>6217993300103134083</v>
          </cell>
          <cell r="D33" t="str">
            <v>【邮储银行】您尾号4083的账户开户行名称：中国邮政储蓄银行股份有限公司杭州市拱宸桥营业所，</v>
          </cell>
        </row>
        <row r="34">
          <cell r="B34" t="str">
            <v>郑养冰</v>
          </cell>
          <cell r="C34" t="str">
            <v>6230910199167251475</v>
          </cell>
          <cell r="D34" t="str">
            <v>杭州联合银行石祥支行</v>
          </cell>
        </row>
        <row r="35">
          <cell r="B35" t="str">
            <v>袁彩云</v>
          </cell>
          <cell r="C35" t="str">
            <v>6230910199167152004</v>
          </cell>
          <cell r="D35" t="str">
            <v>杭州联合银行石祥支行</v>
          </cell>
        </row>
        <row r="36">
          <cell r="B36" t="str">
            <v>王忠江</v>
          </cell>
          <cell r="C36" t="str">
            <v>6230910199150513634</v>
          </cell>
          <cell r="D36" t="str">
            <v>湖墅支行</v>
          </cell>
        </row>
        <row r="37">
          <cell r="B37" t="str">
            <v>章杰</v>
          </cell>
          <cell r="C37" t="str">
            <v>6230910199167152087</v>
          </cell>
          <cell r="D37" t="str">
            <v>石桥支行</v>
          </cell>
        </row>
        <row r="38">
          <cell r="B38" t="str">
            <v>黄熙文</v>
          </cell>
          <cell r="C38" t="str">
            <v>6230910199156190379</v>
          </cell>
          <cell r="D38" t="str">
            <v>杭州联合银行拱墅支行</v>
          </cell>
        </row>
        <row r="39">
          <cell r="B39" t="str">
            <v>周逸晋</v>
          </cell>
          <cell r="C39" t="str">
            <v>6230910199159598792</v>
          </cell>
          <cell r="D39" t="str">
            <v>杭州联合银行同协支行</v>
          </cell>
        </row>
        <row r="40">
          <cell r="B40" t="str">
            <v>罗勇军</v>
          </cell>
          <cell r="C40" t="str">
            <v>6217003800048170249</v>
          </cell>
          <cell r="D40" t="str">
            <v>建设银行</v>
          </cell>
        </row>
        <row r="41">
          <cell r="B41" t="str">
            <v>郑逸群</v>
          </cell>
          <cell r="C41" t="str">
            <v>000000000000</v>
          </cell>
          <cell r="D41" t="str">
            <v>杭州银行庆春路支行</v>
          </cell>
        </row>
        <row r="42">
          <cell r="B42" t="str">
            <v>潘洪波</v>
          </cell>
          <cell r="C42" t="str">
            <v/>
          </cell>
        </row>
        <row r="43">
          <cell r="B43" t="str">
            <v>罗艳刚</v>
          </cell>
          <cell r="C43" t="str">
            <v/>
          </cell>
        </row>
        <row r="44">
          <cell r="B44" t="str">
            <v>连刘丹</v>
          </cell>
          <cell r="C44" t="str">
            <v>6228580999009440647</v>
          </cell>
        </row>
        <row r="45">
          <cell r="B45" t="str">
            <v>余晶晶</v>
          </cell>
          <cell r="C45" t="str">
            <v/>
          </cell>
        </row>
        <row r="46">
          <cell r="B46" t="str">
            <v>周蒙达</v>
          </cell>
          <cell r="C46" t="str">
            <v/>
          </cell>
        </row>
        <row r="47">
          <cell r="B47" t="str">
            <v>马晨宇</v>
          </cell>
          <cell r="C47" t="str">
            <v/>
          </cell>
        </row>
        <row r="48">
          <cell r="B48" t="str">
            <v>赖翔</v>
          </cell>
          <cell r="C48" t="str">
            <v/>
          </cell>
        </row>
        <row r="49">
          <cell r="B49" t="str">
            <v>潘琳玲</v>
          </cell>
          <cell r="C49" t="str">
            <v>6212261202027337865</v>
          </cell>
        </row>
        <row r="50">
          <cell r="B50" t="str">
            <v>金丽萍</v>
          </cell>
          <cell r="C50" t="str">
            <v/>
          </cell>
        </row>
        <row r="51">
          <cell r="B51" t="str">
            <v>严欣琳</v>
          </cell>
          <cell r="C51" t="str">
            <v/>
          </cell>
        </row>
        <row r="52">
          <cell r="B52" t="str">
            <v>屠海霞</v>
          </cell>
          <cell r="C52" t="str">
            <v/>
          </cell>
        </row>
        <row r="53">
          <cell r="B53" t="str">
            <v>谢江</v>
          </cell>
          <cell r="C53" t="str">
            <v/>
          </cell>
        </row>
        <row r="54">
          <cell r="B54" t="str">
            <v>肖添赢</v>
          </cell>
          <cell r="C54" t="str">
            <v/>
          </cell>
        </row>
        <row r="55">
          <cell r="B55" t="str">
            <v>廖玉苗</v>
          </cell>
          <cell r="C55" t="str">
            <v/>
          </cell>
        </row>
        <row r="56">
          <cell r="B56" t="str">
            <v>余峰</v>
          </cell>
          <cell r="C56" t="str">
            <v/>
          </cell>
        </row>
        <row r="57">
          <cell r="B57" t="str">
            <v>黄培豪</v>
          </cell>
          <cell r="C57" t="str">
            <v>6217857000082529213</v>
          </cell>
        </row>
        <row r="58">
          <cell r="B58" t="str">
            <v>杨树</v>
          </cell>
          <cell r="C58" t="str">
            <v/>
          </cell>
        </row>
        <row r="59">
          <cell r="B59" t="str">
            <v>陶耀斌</v>
          </cell>
          <cell r="C59" t="str">
            <v>6212261202020647369</v>
          </cell>
        </row>
        <row r="60">
          <cell r="B60" t="str">
            <v>陶晋</v>
          </cell>
        </row>
        <row r="61">
          <cell r="B61" t="str">
            <v>彭碧茂</v>
          </cell>
          <cell r="C61" t="str">
            <v>6212261202037074185</v>
          </cell>
        </row>
        <row r="62">
          <cell r="B62" t="str">
            <v>陶耀文</v>
          </cell>
          <cell r="C62" t="str">
            <v>6212261202020550050</v>
          </cell>
        </row>
        <row r="63">
          <cell r="B63" t="str">
            <v>小翼</v>
          </cell>
        </row>
        <row r="64">
          <cell r="B64" t="str">
            <v>一</v>
          </cell>
        </row>
        <row r="65">
          <cell r="B65" t="str">
            <v>陶琦</v>
          </cell>
          <cell r="C65" t="str">
            <v>6212261202026616905</v>
          </cell>
        </row>
        <row r="66">
          <cell r="B66" t="str">
            <v>刘晓宇</v>
          </cell>
        </row>
        <row r="67">
          <cell r="B67" t="str">
            <v>王冬梅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E65"/>
  <sheetViews>
    <sheetView tabSelected="1" zoomScale="85" zoomScaleNormal="85" topLeftCell="A37" workbookViewId="0">
      <pane xSplit="3" topLeftCell="N1" activePane="topRight" state="frozen"/>
      <selection/>
      <selection pane="topRight" activeCell="V47" sqref="V49:V58 V4:V47"/>
    </sheetView>
  </sheetViews>
  <sheetFormatPr defaultColWidth="9" defaultRowHeight="13.5" customHeight="1"/>
  <cols>
    <col min="1" max="1" width="7.78333333333333" style="233" customWidth="1"/>
    <col min="2" max="3" width="11.25" style="233" customWidth="1"/>
    <col min="4" max="5" width="14.3333333333333" style="233" customWidth="1"/>
    <col min="6" max="6" width="19.7083333333333" style="233" customWidth="1"/>
    <col min="7" max="7" width="21.6666666666667" style="233" customWidth="1"/>
    <col min="8" max="8" width="26.2416666666667" style="233" customWidth="1"/>
    <col min="9" max="10" width="13" style="233" customWidth="1"/>
    <col min="11" max="11" width="12.8333333333333" style="233" customWidth="1"/>
    <col min="12" max="12" width="13" style="233" customWidth="1"/>
    <col min="13" max="13" width="12.8333333333333" style="233" customWidth="1"/>
    <col min="14" max="14" width="13" style="233" customWidth="1"/>
    <col min="15" max="15" width="9.33333333333333" style="233" customWidth="1"/>
    <col min="16" max="16" width="10" style="233" customWidth="1"/>
    <col min="17" max="17" width="13" style="235" customWidth="1"/>
    <col min="18" max="18" width="12" style="236" customWidth="1"/>
    <col min="19" max="19" width="13" style="233" customWidth="1"/>
    <col min="20" max="21" width="13" style="235" customWidth="1"/>
    <col min="22" max="22" width="13.8333333333333" style="233" customWidth="1"/>
    <col min="23" max="23" width="13" style="233" customWidth="1"/>
    <col min="24" max="26" width="15" style="233" customWidth="1"/>
    <col min="27" max="27" width="13" style="233" customWidth="1"/>
    <col min="28" max="28" width="19.3333333333333" style="233" customWidth="1"/>
    <col min="29" max="31" width="9" style="233"/>
    <col min="32" max="16384" width="9" style="151"/>
  </cols>
  <sheetData>
    <row r="1" ht="20.25" customHeight="1" spans="1:28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63"/>
      <c r="R1" s="264"/>
      <c r="S1" s="237"/>
      <c r="T1" s="263"/>
      <c r="U1" s="263"/>
      <c r="V1" s="237"/>
      <c r="W1" s="237"/>
      <c r="X1" s="237"/>
      <c r="Y1" s="237"/>
      <c r="Z1" s="237"/>
      <c r="AA1" s="237"/>
      <c r="AB1" s="237"/>
    </row>
    <row r="2" ht="27" customHeight="1" spans="1:28">
      <c r="A2" s="237"/>
      <c r="B2" s="237"/>
      <c r="C2" s="237" t="s">
        <v>1</v>
      </c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63"/>
      <c r="R2" s="264"/>
      <c r="S2" s="237"/>
      <c r="T2" s="263"/>
      <c r="U2" s="263"/>
      <c r="V2" s="237"/>
      <c r="W2" s="237"/>
      <c r="X2" s="237"/>
      <c r="Y2" s="237"/>
      <c r="Z2" s="237"/>
      <c r="AA2" s="237"/>
      <c r="AB2" s="237"/>
    </row>
    <row r="3" s="233" customFormat="1" ht="26" customHeight="1" spans="1:28">
      <c r="A3" s="238" t="s">
        <v>2</v>
      </c>
      <c r="B3" s="238" t="s">
        <v>3</v>
      </c>
      <c r="C3" s="239" t="s">
        <v>4</v>
      </c>
      <c r="D3" s="240" t="s">
        <v>5</v>
      </c>
      <c r="E3" s="238" t="s">
        <v>6</v>
      </c>
      <c r="F3" s="238" t="s">
        <v>7</v>
      </c>
      <c r="G3" s="241" t="s">
        <v>8</v>
      </c>
      <c r="H3" s="238" t="s">
        <v>9</v>
      </c>
      <c r="I3" s="259" t="s">
        <v>10</v>
      </c>
      <c r="J3" s="259" t="s">
        <v>11</v>
      </c>
      <c r="K3" s="259" t="s">
        <v>12</v>
      </c>
      <c r="L3" s="260" t="s">
        <v>13</v>
      </c>
      <c r="M3" s="260" t="s">
        <v>14</v>
      </c>
      <c r="N3" s="260" t="s">
        <v>15</v>
      </c>
      <c r="O3" s="260" t="s">
        <v>16</v>
      </c>
      <c r="P3" s="259" t="s">
        <v>17</v>
      </c>
      <c r="Q3" s="254" t="s">
        <v>18</v>
      </c>
      <c r="R3" s="265" t="s">
        <v>19</v>
      </c>
      <c r="S3" s="260" t="s">
        <v>20</v>
      </c>
      <c r="T3" s="265" t="s">
        <v>21</v>
      </c>
      <c r="U3" s="252" t="s">
        <v>22</v>
      </c>
      <c r="V3" s="260" t="s">
        <v>23</v>
      </c>
      <c r="W3" s="238" t="s">
        <v>24</v>
      </c>
      <c r="X3" s="238" t="s">
        <v>25</v>
      </c>
      <c r="Y3" s="238" t="s">
        <v>26</v>
      </c>
      <c r="Z3" s="238" t="s">
        <v>27</v>
      </c>
      <c r="AA3" s="152" t="s">
        <v>28</v>
      </c>
      <c r="AB3" s="259" t="s">
        <v>29</v>
      </c>
    </row>
    <row r="4" s="233" customFormat="1" ht="26" customHeight="1" spans="1:28">
      <c r="A4" s="238">
        <v>1</v>
      </c>
      <c r="B4" s="238" t="s">
        <v>30</v>
      </c>
      <c r="C4" s="239" t="s">
        <v>31</v>
      </c>
      <c r="D4" s="240">
        <v>42226</v>
      </c>
      <c r="E4" s="238">
        <v>18957134596</v>
      </c>
      <c r="F4" s="238" t="s">
        <v>32</v>
      </c>
      <c r="G4" s="270" t="s">
        <v>33</v>
      </c>
      <c r="H4" s="238" t="s">
        <v>34</v>
      </c>
      <c r="I4" s="259">
        <v>2500</v>
      </c>
      <c r="J4" s="259">
        <v>12000</v>
      </c>
      <c r="K4" s="259"/>
      <c r="L4" s="260">
        <v>500</v>
      </c>
      <c r="M4" s="260"/>
      <c r="N4" s="260"/>
      <c r="O4" s="260">
        <v>0</v>
      </c>
      <c r="P4" s="259">
        <v>450</v>
      </c>
      <c r="Q4" s="254">
        <f>IFERROR(VLOOKUP(C4,考勤!C:AC,27,0),0)</f>
        <v>0</v>
      </c>
      <c r="R4" s="265"/>
      <c r="S4" s="260"/>
      <c r="T4" s="265">
        <v>0</v>
      </c>
      <c r="U4" s="252">
        <v>0</v>
      </c>
      <c r="V4" s="260">
        <f>ROUND(SUM(I4:S4)-T4-U4,2)</f>
        <v>15450</v>
      </c>
      <c r="W4" s="238">
        <v>505.26</v>
      </c>
      <c r="X4" s="238">
        <v>0</v>
      </c>
      <c r="Y4" s="238">
        <v>1848</v>
      </c>
      <c r="Z4" s="238"/>
      <c r="AA4" s="152">
        <f>VLOOKUP(C4,综合所得申报税款计算!B:AQ,42,0)</f>
        <v>509.68</v>
      </c>
      <c r="AB4" s="259">
        <f>ROUND(V4-SUM(W4:AA4),2)</f>
        <v>12587.06</v>
      </c>
    </row>
    <row r="5" s="233" customFormat="1" ht="26" customHeight="1" spans="1:28">
      <c r="A5" s="238">
        <v>2</v>
      </c>
      <c r="B5" s="238" t="s">
        <v>30</v>
      </c>
      <c r="C5" s="239" t="s">
        <v>35</v>
      </c>
      <c r="D5" s="240">
        <v>42226</v>
      </c>
      <c r="E5" s="238">
        <v>18969067333</v>
      </c>
      <c r="F5" s="271" t="s">
        <v>36</v>
      </c>
      <c r="G5" s="270" t="s">
        <v>37</v>
      </c>
      <c r="H5" s="238" t="s">
        <v>38</v>
      </c>
      <c r="I5" s="259">
        <v>2500</v>
      </c>
      <c r="J5" s="259">
        <v>3815</v>
      </c>
      <c r="K5" s="259">
        <v>5000</v>
      </c>
      <c r="L5" s="260">
        <v>500</v>
      </c>
      <c r="M5" s="260"/>
      <c r="N5" s="260"/>
      <c r="O5" s="260">
        <v>0</v>
      </c>
      <c r="P5" s="259">
        <f>IFERROR(VLOOKUP(C5,[2]工资表!$C:$Q,15,0),0)</f>
        <v>0</v>
      </c>
      <c r="Q5" s="254">
        <f>IFERROR(VLOOKUP(C5,考勤!C:AC,27,0),0)</f>
        <v>0</v>
      </c>
      <c r="R5" s="265"/>
      <c r="S5" s="260">
        <v>3000</v>
      </c>
      <c r="T5" s="265">
        <v>0</v>
      </c>
      <c r="U5" s="252">
        <v>0</v>
      </c>
      <c r="V5" s="260">
        <f t="shared" ref="V5:V47" si="0">ROUND(SUM(I5:S5)-T5-U5,2)</f>
        <v>14815</v>
      </c>
      <c r="W5" s="238">
        <v>505.26</v>
      </c>
      <c r="X5" s="238">
        <v>0</v>
      </c>
      <c r="Y5" s="238">
        <v>1778</v>
      </c>
      <c r="Z5" s="238"/>
      <c r="AA5" s="152">
        <f>VLOOKUP(C5,综合所得申报税款计算!B:AQ,42,0)</f>
        <v>703.18</v>
      </c>
      <c r="AB5" s="259">
        <f t="shared" ref="AB5:AB36" si="1">ROUND(V5-SUM(W5:AA5),2)</f>
        <v>11828.56</v>
      </c>
    </row>
    <row r="6" s="233" customFormat="1" ht="26" customHeight="1" spans="1:28">
      <c r="A6" s="238">
        <v>3</v>
      </c>
      <c r="B6" s="238" t="s">
        <v>30</v>
      </c>
      <c r="C6" s="239" t="s">
        <v>39</v>
      </c>
      <c r="D6" s="240">
        <v>45047</v>
      </c>
      <c r="E6" s="238">
        <v>17364523048</v>
      </c>
      <c r="F6" s="238" t="s">
        <v>40</v>
      </c>
      <c r="G6" s="270" t="s">
        <v>41</v>
      </c>
      <c r="H6" s="238" t="s">
        <v>42</v>
      </c>
      <c r="I6" s="259">
        <v>5000</v>
      </c>
      <c r="J6" s="259"/>
      <c r="K6" s="259"/>
      <c r="L6" s="260"/>
      <c r="M6" s="260"/>
      <c r="N6" s="260"/>
      <c r="O6" s="260"/>
      <c r="P6" s="259">
        <f>IFERROR(VLOOKUP(C6,[2]工资表!$C:$Q,15,0),0)</f>
        <v>0</v>
      </c>
      <c r="Q6" s="254">
        <f>IFERROR(VLOOKUP(C6,考勤!C:AC,27,0),0)</f>
        <v>0</v>
      </c>
      <c r="R6" s="265"/>
      <c r="S6" s="260"/>
      <c r="T6" s="265">
        <v>0</v>
      </c>
      <c r="U6" s="252">
        <v>0</v>
      </c>
      <c r="V6" s="260">
        <f t="shared" si="0"/>
        <v>5000</v>
      </c>
      <c r="W6" s="238">
        <v>0</v>
      </c>
      <c r="X6" s="238">
        <v>0</v>
      </c>
      <c r="Y6" s="238"/>
      <c r="Z6" s="238"/>
      <c r="AA6" s="152">
        <f>VLOOKUP(C6,综合所得申报税款计算!B:AQ,42,0)</f>
        <v>0</v>
      </c>
      <c r="AB6" s="259">
        <f t="shared" si="1"/>
        <v>5000</v>
      </c>
    </row>
    <row r="7" s="233" customFormat="1" ht="26" customHeight="1" spans="1:28">
      <c r="A7" s="238">
        <v>4</v>
      </c>
      <c r="B7" s="238" t="s">
        <v>30</v>
      </c>
      <c r="C7" s="239" t="s">
        <v>43</v>
      </c>
      <c r="D7" s="240">
        <v>42226</v>
      </c>
      <c r="E7" s="238">
        <v>18105710822</v>
      </c>
      <c r="F7" s="238" t="s">
        <v>44</v>
      </c>
      <c r="G7" s="270" t="s">
        <v>45</v>
      </c>
      <c r="H7" s="238" t="s">
        <v>46</v>
      </c>
      <c r="I7" s="259">
        <v>5000</v>
      </c>
      <c r="J7" s="259"/>
      <c r="K7" s="259"/>
      <c r="L7" s="260"/>
      <c r="M7" s="260"/>
      <c r="N7" s="260"/>
      <c r="O7" s="260"/>
      <c r="P7" s="259">
        <f>IFERROR(VLOOKUP(C7,[2]工资表!$C:$Q,15,0),0)</f>
        <v>0</v>
      </c>
      <c r="Q7" s="254">
        <f>IFERROR(VLOOKUP(C7,考勤!C:AC,27,0),0)</f>
        <v>0</v>
      </c>
      <c r="R7" s="265"/>
      <c r="S7" s="260"/>
      <c r="T7" s="265">
        <v>0</v>
      </c>
      <c r="U7" s="252">
        <v>0</v>
      </c>
      <c r="V7" s="260">
        <f t="shared" si="0"/>
        <v>5000</v>
      </c>
      <c r="W7" s="238">
        <v>505.26</v>
      </c>
      <c r="X7" s="238">
        <v>0</v>
      </c>
      <c r="Y7" s="238">
        <v>480</v>
      </c>
      <c r="Z7" s="238"/>
      <c r="AA7" s="152">
        <f>VLOOKUP(C7,综合所得申报税款计算!B:AQ,42,0)</f>
        <v>0</v>
      </c>
      <c r="AB7" s="259">
        <f t="shared" si="1"/>
        <v>4014.74</v>
      </c>
    </row>
    <row r="8" s="233" customFormat="1" ht="26" customHeight="1" spans="1:28">
      <c r="A8" s="238">
        <v>5</v>
      </c>
      <c r="B8" s="238" t="s">
        <v>47</v>
      </c>
      <c r="C8" s="239" t="s">
        <v>48</v>
      </c>
      <c r="D8" s="240">
        <v>42226</v>
      </c>
      <c r="E8" s="238">
        <v>15372003027</v>
      </c>
      <c r="F8" s="271" t="s">
        <v>49</v>
      </c>
      <c r="G8" s="270" t="s">
        <v>50</v>
      </c>
      <c r="H8" s="238" t="s">
        <v>51</v>
      </c>
      <c r="I8" s="259">
        <v>2500</v>
      </c>
      <c r="J8" s="259">
        <v>15500</v>
      </c>
      <c r="K8" s="259"/>
      <c r="L8" s="260">
        <v>500</v>
      </c>
      <c r="M8" s="260"/>
      <c r="N8" s="260"/>
      <c r="O8" s="260">
        <v>0</v>
      </c>
      <c r="P8" s="259">
        <v>450</v>
      </c>
      <c r="Q8" s="254">
        <f>IFERROR(VLOOKUP(C8,考勤!C:AC,27,0),0)</f>
        <v>0</v>
      </c>
      <c r="R8" s="265"/>
      <c r="S8" s="260"/>
      <c r="T8" s="265">
        <v>0</v>
      </c>
      <c r="U8" s="252">
        <v>0</v>
      </c>
      <c r="V8" s="260">
        <f t="shared" si="0"/>
        <v>18950</v>
      </c>
      <c r="W8" s="238">
        <v>505.26</v>
      </c>
      <c r="X8" s="238">
        <v>0</v>
      </c>
      <c r="Y8" s="238">
        <v>1800</v>
      </c>
      <c r="Z8" s="238"/>
      <c r="AA8" s="152">
        <f>VLOOKUP(C8,综合所得申报税款计算!B:AQ,42,0)</f>
        <v>514.48</v>
      </c>
      <c r="AB8" s="259">
        <f t="shared" si="1"/>
        <v>16130.26</v>
      </c>
    </row>
    <row r="9" s="233" customFormat="1" ht="26" customHeight="1" spans="1:28">
      <c r="A9" s="238">
        <v>6</v>
      </c>
      <c r="B9" s="238" t="s">
        <v>52</v>
      </c>
      <c r="C9" s="239" t="s">
        <v>53</v>
      </c>
      <c r="D9" s="240">
        <v>44858</v>
      </c>
      <c r="E9" s="238">
        <v>13575710404</v>
      </c>
      <c r="F9" s="271" t="s">
        <v>54</v>
      </c>
      <c r="G9" s="270" t="s">
        <v>55</v>
      </c>
      <c r="H9" s="238" t="s">
        <v>56</v>
      </c>
      <c r="I9" s="259">
        <v>2500</v>
      </c>
      <c r="J9" s="259">
        <v>3800</v>
      </c>
      <c r="K9" s="259">
        <v>1800</v>
      </c>
      <c r="L9" s="260">
        <v>300</v>
      </c>
      <c r="M9" s="260"/>
      <c r="N9" s="260">
        <v>200</v>
      </c>
      <c r="O9" s="260"/>
      <c r="P9" s="259">
        <v>100</v>
      </c>
      <c r="Q9" s="254">
        <f>IFERROR(VLOOKUP(C9,考勤!C:AC,27,0),0)</f>
        <v>0</v>
      </c>
      <c r="R9" s="265"/>
      <c r="S9" s="260"/>
      <c r="T9" s="265">
        <v>0</v>
      </c>
      <c r="U9" s="252">
        <f>VLOOKUP(C9,考勤!C:Z,24,0)</f>
        <v>0</v>
      </c>
      <c r="V9" s="260">
        <f t="shared" si="0"/>
        <v>8700</v>
      </c>
      <c r="W9" s="238">
        <v>505.26</v>
      </c>
      <c r="X9" s="238">
        <v>0</v>
      </c>
      <c r="Y9" s="238">
        <v>480</v>
      </c>
      <c r="Z9" s="238"/>
      <c r="AA9" s="152">
        <f>VLOOKUP(C9,综合所得申报税款计算!B:AQ,42,0)</f>
        <v>0</v>
      </c>
      <c r="AB9" s="259">
        <f t="shared" si="1"/>
        <v>7714.74</v>
      </c>
    </row>
    <row r="10" s="233" customFormat="1" ht="26" customHeight="1" spans="1:28">
      <c r="A10" s="238">
        <v>7</v>
      </c>
      <c r="B10" s="238" t="s">
        <v>52</v>
      </c>
      <c r="C10" s="242" t="s">
        <v>57</v>
      </c>
      <c r="D10" s="240">
        <v>45533</v>
      </c>
      <c r="E10" s="238">
        <v>15779602593</v>
      </c>
      <c r="F10" s="271" t="s">
        <v>58</v>
      </c>
      <c r="G10" s="270" t="s">
        <v>59</v>
      </c>
      <c r="H10" s="238" t="s">
        <v>60</v>
      </c>
      <c r="I10" s="259">
        <v>3000</v>
      </c>
      <c r="J10" s="259">
        <v>500</v>
      </c>
      <c r="K10" s="259">
        <v>2000</v>
      </c>
      <c r="L10" s="260">
        <v>300</v>
      </c>
      <c r="M10" s="260"/>
      <c r="N10" s="260">
        <v>200</v>
      </c>
      <c r="O10" s="260"/>
      <c r="P10" s="259"/>
      <c r="Q10" s="254"/>
      <c r="R10" s="265"/>
      <c r="S10" s="260">
        <f>1000/21*1</f>
        <v>47.6190476190476</v>
      </c>
      <c r="T10" s="265"/>
      <c r="U10" s="252">
        <f>VLOOKUP(C10,考勤!C:Z,24,0)</f>
        <v>0</v>
      </c>
      <c r="V10" s="260">
        <f t="shared" si="0"/>
        <v>6047.62</v>
      </c>
      <c r="W10" s="238">
        <v>505.26</v>
      </c>
      <c r="X10" s="238">
        <v>0</v>
      </c>
      <c r="Y10" s="238"/>
      <c r="Z10" s="238"/>
      <c r="AA10" s="152">
        <f>VLOOKUP(C10,综合所得申报税款计算!B:AQ,42,0)</f>
        <v>0</v>
      </c>
      <c r="AB10" s="259">
        <f t="shared" si="1"/>
        <v>5542.36</v>
      </c>
    </row>
    <row r="11" s="233" customFormat="1" ht="26" customHeight="1" spans="1:28">
      <c r="A11" s="238">
        <v>8</v>
      </c>
      <c r="B11" s="238" t="s">
        <v>52</v>
      </c>
      <c r="C11" s="239" t="s">
        <v>61</v>
      </c>
      <c r="D11" s="240">
        <v>45470</v>
      </c>
      <c r="E11" s="238">
        <v>18374859192</v>
      </c>
      <c r="F11" s="271" t="s">
        <v>62</v>
      </c>
      <c r="G11" s="270" t="s">
        <v>63</v>
      </c>
      <c r="H11" s="238" t="s">
        <v>60</v>
      </c>
      <c r="I11" s="259">
        <v>3000</v>
      </c>
      <c r="J11" s="259">
        <v>800</v>
      </c>
      <c r="K11" s="259">
        <v>1200</v>
      </c>
      <c r="L11" s="260">
        <v>300</v>
      </c>
      <c r="M11" s="260"/>
      <c r="N11" s="260">
        <v>200</v>
      </c>
      <c r="O11" s="260"/>
      <c r="P11" s="259"/>
      <c r="Q11" s="254"/>
      <c r="R11" s="265"/>
      <c r="S11" s="260"/>
      <c r="T11" s="265"/>
      <c r="U11" s="252">
        <f>VLOOKUP(C11,考勤!C:Z,24,0)</f>
        <v>0</v>
      </c>
      <c r="V11" s="260">
        <f t="shared" si="0"/>
        <v>5500</v>
      </c>
      <c r="W11" s="238">
        <v>505.26</v>
      </c>
      <c r="X11" s="238">
        <v>0</v>
      </c>
      <c r="Y11" s="238"/>
      <c r="Z11" s="238"/>
      <c r="AA11" s="152">
        <f>VLOOKUP(C11,综合所得申报税款计算!B:AQ,42,0)</f>
        <v>0</v>
      </c>
      <c r="AB11" s="259">
        <f t="shared" si="1"/>
        <v>4994.74</v>
      </c>
    </row>
    <row r="12" s="233" customFormat="1" ht="26" customHeight="1" spans="1:28">
      <c r="A12" s="238">
        <v>9</v>
      </c>
      <c r="B12" s="238" t="s">
        <v>52</v>
      </c>
      <c r="C12" s="239" t="s">
        <v>64</v>
      </c>
      <c r="D12" s="240">
        <v>44770</v>
      </c>
      <c r="E12" s="238">
        <v>15958138522</v>
      </c>
      <c r="F12" s="271" t="s">
        <v>65</v>
      </c>
      <c r="G12" s="270" t="s">
        <v>66</v>
      </c>
      <c r="H12" s="238" t="s">
        <v>60</v>
      </c>
      <c r="I12" s="259">
        <v>2500</v>
      </c>
      <c r="J12" s="259">
        <v>2800</v>
      </c>
      <c r="K12" s="259">
        <v>1600</v>
      </c>
      <c r="L12" s="260">
        <v>300</v>
      </c>
      <c r="M12" s="260"/>
      <c r="N12" s="260">
        <v>200</v>
      </c>
      <c r="O12" s="260"/>
      <c r="P12" s="259">
        <v>100</v>
      </c>
      <c r="Q12" s="254">
        <f>IFERROR(VLOOKUP(C12,考勤!C:AC,27,0),0)</f>
        <v>0</v>
      </c>
      <c r="R12" s="265"/>
      <c r="S12" s="260"/>
      <c r="T12" s="265"/>
      <c r="U12" s="252">
        <f>VLOOKUP(C12,考勤!C:Z,24,0)</f>
        <v>0</v>
      </c>
      <c r="V12" s="260">
        <f t="shared" si="0"/>
        <v>7500</v>
      </c>
      <c r="W12" s="238">
        <v>505.26</v>
      </c>
      <c r="X12" s="238">
        <v>0</v>
      </c>
      <c r="Y12" s="238">
        <v>480</v>
      </c>
      <c r="Z12" s="238"/>
      <c r="AA12" s="152">
        <f>VLOOKUP(C12,综合所得申报税款计算!B:AQ,42,0)</f>
        <v>0</v>
      </c>
      <c r="AB12" s="259">
        <f t="shared" si="1"/>
        <v>6514.74</v>
      </c>
    </row>
    <row r="13" s="233" customFormat="1" ht="26" customHeight="1" spans="1:28">
      <c r="A13" s="238">
        <v>11</v>
      </c>
      <c r="B13" s="238" t="s">
        <v>67</v>
      </c>
      <c r="C13" s="239" t="s">
        <v>68</v>
      </c>
      <c r="D13" s="240">
        <v>43679</v>
      </c>
      <c r="E13" s="238">
        <v>13757131242</v>
      </c>
      <c r="F13" s="271" t="s">
        <v>69</v>
      </c>
      <c r="G13" s="270" t="s">
        <v>70</v>
      </c>
      <c r="H13" s="238" t="s">
        <v>46</v>
      </c>
      <c r="I13" s="259">
        <v>2500</v>
      </c>
      <c r="J13" s="259">
        <v>1000</v>
      </c>
      <c r="K13" s="259">
        <v>1000</v>
      </c>
      <c r="L13" s="260">
        <v>300</v>
      </c>
      <c r="M13" s="260">
        <v>1000</v>
      </c>
      <c r="N13" s="260">
        <v>200</v>
      </c>
      <c r="O13" s="260"/>
      <c r="P13" s="259">
        <v>250</v>
      </c>
      <c r="Q13" s="254">
        <f>IFERROR(VLOOKUP(C13,考勤!C:AC,27,0),0)</f>
        <v>0</v>
      </c>
      <c r="R13" s="265">
        <f>VLOOKUP(C13,项目奖金!B58:E76,4,0)</f>
        <v>1905.6260025</v>
      </c>
      <c r="T13" s="265">
        <f>VLOOKUP(C13,项目奖金!G56:K80,5,0)</f>
        <v>5</v>
      </c>
      <c r="U13" s="252">
        <f>VLOOKUP(C13,考勤!C:Z,24,0)</f>
        <v>0</v>
      </c>
      <c r="V13" s="260">
        <f t="shared" si="0"/>
        <v>8150.63</v>
      </c>
      <c r="W13" s="238">
        <v>505.26</v>
      </c>
      <c r="X13" s="238">
        <v>0</v>
      </c>
      <c r="Y13" s="238"/>
      <c r="Z13" s="238"/>
      <c r="AA13" s="152">
        <f>VLOOKUP(C13,综合所得申报税款计算!B:AQ,42,0)</f>
        <v>0</v>
      </c>
      <c r="AB13" s="259">
        <f t="shared" si="1"/>
        <v>7645.37</v>
      </c>
    </row>
    <row r="14" s="233" customFormat="1" ht="26" customHeight="1" spans="1:28">
      <c r="A14" s="238">
        <v>12</v>
      </c>
      <c r="B14" s="238" t="s">
        <v>67</v>
      </c>
      <c r="C14" s="239" t="s">
        <v>71</v>
      </c>
      <c r="D14" s="240">
        <v>43959</v>
      </c>
      <c r="E14" s="238">
        <v>18972408123</v>
      </c>
      <c r="F14" s="271" t="s">
        <v>72</v>
      </c>
      <c r="G14" s="270" t="s">
        <v>73</v>
      </c>
      <c r="H14" s="238" t="s">
        <v>74</v>
      </c>
      <c r="I14" s="259">
        <v>2500</v>
      </c>
      <c r="J14" s="259">
        <v>1900</v>
      </c>
      <c r="K14" s="259">
        <v>1000</v>
      </c>
      <c r="L14" s="260">
        <v>300</v>
      </c>
      <c r="M14" s="260">
        <v>1000</v>
      </c>
      <c r="N14" s="260">
        <v>200</v>
      </c>
      <c r="O14" s="260"/>
      <c r="P14" s="259">
        <v>200</v>
      </c>
      <c r="Q14" s="254">
        <f>IFERROR(VLOOKUP(C14,考勤!C:AC,27,0),0)</f>
        <v>0</v>
      </c>
      <c r="R14" s="265">
        <f>VLOOKUP(C14,项目奖金!B59:E77,4,0)</f>
        <v>1040.6175</v>
      </c>
      <c r="S14" s="260"/>
      <c r="T14" s="265">
        <f>VLOOKUP(C14,项目奖金!G57:K81,5,0)</f>
        <v>130</v>
      </c>
      <c r="U14" s="252">
        <f>VLOOKUP(C14,考勤!C:Z,24,0)</f>
        <v>0</v>
      </c>
      <c r="V14" s="260">
        <f t="shared" si="0"/>
        <v>8010.62</v>
      </c>
      <c r="W14" s="238">
        <v>505.26</v>
      </c>
      <c r="X14" s="238">
        <v>0</v>
      </c>
      <c r="Y14" s="238"/>
      <c r="Z14" s="238"/>
      <c r="AA14" s="152">
        <f>VLOOKUP(C14,综合所得申报税款计算!B:AQ,42,0)</f>
        <v>75.16</v>
      </c>
      <c r="AB14" s="259">
        <f t="shared" si="1"/>
        <v>7430.2</v>
      </c>
    </row>
    <row r="15" s="233" customFormat="1" ht="26" customHeight="1" spans="1:28">
      <c r="A15" s="238">
        <v>13</v>
      </c>
      <c r="B15" s="238" t="s">
        <v>67</v>
      </c>
      <c r="C15" s="239" t="s">
        <v>75</v>
      </c>
      <c r="D15" s="240">
        <v>44975</v>
      </c>
      <c r="E15" s="238">
        <v>17636359342</v>
      </c>
      <c r="F15" s="238" t="s">
        <v>76</v>
      </c>
      <c r="G15" s="270" t="s">
        <v>77</v>
      </c>
      <c r="H15" s="238" t="s">
        <v>56</v>
      </c>
      <c r="I15" s="259">
        <v>2500</v>
      </c>
      <c r="J15" s="259">
        <v>300</v>
      </c>
      <c r="K15" s="259">
        <v>500</v>
      </c>
      <c r="L15" s="260">
        <v>300</v>
      </c>
      <c r="M15" s="260">
        <v>1000</v>
      </c>
      <c r="N15" s="260">
        <v>200</v>
      </c>
      <c r="O15" s="260"/>
      <c r="P15" s="259">
        <v>50</v>
      </c>
      <c r="Q15" s="254">
        <f>IFERROR(VLOOKUP(C15,考勤!C:AC,27,0),0)</f>
        <v>0</v>
      </c>
      <c r="R15" s="265">
        <f>VLOOKUP(C15,项目奖金!B60:E78,4,0)</f>
        <v>1436.4</v>
      </c>
      <c r="S15" s="260"/>
      <c r="T15" s="265">
        <f>VLOOKUP(C15,项目奖金!G58:K82,5,0)</f>
        <v>45</v>
      </c>
      <c r="U15" s="252">
        <f>VLOOKUP(C15,考勤!C:Z,24,0)</f>
        <v>0</v>
      </c>
      <c r="V15" s="260">
        <f t="shared" si="0"/>
        <v>6241.4</v>
      </c>
      <c r="W15" s="238">
        <v>505.26</v>
      </c>
      <c r="X15" s="238">
        <v>0</v>
      </c>
      <c r="Y15" s="238"/>
      <c r="Z15" s="238"/>
      <c r="AA15" s="152">
        <f>VLOOKUP(C15,综合所得申报税款计算!B:AQ,42,0)</f>
        <v>22.08</v>
      </c>
      <c r="AB15" s="259">
        <f t="shared" si="1"/>
        <v>5714.06</v>
      </c>
    </row>
    <row r="16" s="233" customFormat="1" ht="26" customHeight="1" spans="1:28">
      <c r="A16" s="238">
        <v>14</v>
      </c>
      <c r="B16" s="238" t="s">
        <v>67</v>
      </c>
      <c r="C16" s="239" t="s">
        <v>78</v>
      </c>
      <c r="D16" s="240">
        <v>44958</v>
      </c>
      <c r="E16" s="238">
        <v>18370454724</v>
      </c>
      <c r="F16" s="271" t="s">
        <v>79</v>
      </c>
      <c r="G16" s="270" t="s">
        <v>80</v>
      </c>
      <c r="H16" s="238" t="s">
        <v>74</v>
      </c>
      <c r="I16" s="259">
        <v>2500</v>
      </c>
      <c r="J16" s="259">
        <v>300</v>
      </c>
      <c r="K16" s="259">
        <v>500</v>
      </c>
      <c r="L16" s="260">
        <v>300</v>
      </c>
      <c r="M16" s="260">
        <v>1000</v>
      </c>
      <c r="N16" s="260">
        <v>200</v>
      </c>
      <c r="O16" s="260"/>
      <c r="P16" s="259">
        <v>50</v>
      </c>
      <c r="Q16" s="254">
        <f>IFERROR(VLOOKUP(C16,考勤!C:AC,27,0),0)</f>
        <v>0</v>
      </c>
      <c r="R16" s="265"/>
      <c r="S16" s="260"/>
      <c r="T16" s="265">
        <f>VLOOKUP(C16,项目奖金!G59:K83,5,0)</f>
        <v>75</v>
      </c>
      <c r="U16" s="252">
        <f>VLOOKUP(C16,考勤!C:Z,24,0)</f>
        <v>0</v>
      </c>
      <c r="V16" s="260">
        <f t="shared" si="0"/>
        <v>4775</v>
      </c>
      <c r="W16" s="238">
        <v>505.26</v>
      </c>
      <c r="X16" s="238">
        <v>0</v>
      </c>
      <c r="Y16" s="238"/>
      <c r="Z16" s="238">
        <v>50</v>
      </c>
      <c r="AA16" s="152">
        <f>VLOOKUP(C16,综合所得申报税款计算!B:AQ,42,0)</f>
        <v>0</v>
      </c>
      <c r="AB16" s="259">
        <f t="shared" si="1"/>
        <v>4219.74</v>
      </c>
    </row>
    <row r="17" s="233" customFormat="1" ht="26" customHeight="1" spans="1:28">
      <c r="A17" s="238">
        <v>15</v>
      </c>
      <c r="B17" s="238" t="s">
        <v>67</v>
      </c>
      <c r="C17" s="239" t="s">
        <v>81</v>
      </c>
      <c r="D17" s="240">
        <v>45154</v>
      </c>
      <c r="E17" s="238" t="s">
        <v>82</v>
      </c>
      <c r="F17" s="238" t="s">
        <v>83</v>
      </c>
      <c r="G17" s="241" t="str">
        <f>VLOOKUP(C17,[3]银行卡信息!$B$1:$C$65536,2,0)</f>
        <v>6230910199156190379</v>
      </c>
      <c r="H17" s="238" t="s">
        <v>84</v>
      </c>
      <c r="I17" s="259">
        <v>2500</v>
      </c>
      <c r="J17" s="259">
        <v>2000</v>
      </c>
      <c r="K17" s="259">
        <v>2000</v>
      </c>
      <c r="L17" s="260">
        <v>300</v>
      </c>
      <c r="M17" s="260"/>
      <c r="N17" s="260">
        <v>200</v>
      </c>
      <c r="O17" s="260"/>
      <c r="P17" s="259">
        <v>50</v>
      </c>
      <c r="Q17" s="254">
        <f>IFERROR(VLOOKUP(C17,考勤!C:AC,27,0),0)</f>
        <v>0</v>
      </c>
      <c r="R17" s="265">
        <f>VLOOKUP(C17,项目奖金!B62:E80,4,0)</f>
        <v>130.95</v>
      </c>
      <c r="S17" s="260"/>
      <c r="T17" s="265">
        <f>VLOOKUP(C17,项目奖金!G60:K84,5,0)</f>
        <v>35</v>
      </c>
      <c r="U17" s="252">
        <f>VLOOKUP(C17,考勤!C:Z,24,0)</f>
        <v>0</v>
      </c>
      <c r="V17" s="260">
        <f t="shared" si="0"/>
        <v>7145.95</v>
      </c>
      <c r="W17" s="238">
        <v>505.26</v>
      </c>
      <c r="X17" s="238">
        <v>0</v>
      </c>
      <c r="Y17" s="238"/>
      <c r="Z17" s="238"/>
      <c r="AA17" s="152">
        <f>VLOOKUP(C17,综合所得申报税款计算!B:AQ,42,0)</f>
        <v>49.23</v>
      </c>
      <c r="AB17" s="259">
        <f t="shared" si="1"/>
        <v>6591.46</v>
      </c>
    </row>
    <row r="18" s="233" customFormat="1" ht="26" customHeight="1" spans="1:29">
      <c r="A18" s="238">
        <v>16</v>
      </c>
      <c r="B18" s="238" t="s">
        <v>67</v>
      </c>
      <c r="C18" s="239" t="s">
        <v>85</v>
      </c>
      <c r="D18" s="240"/>
      <c r="E18" s="238"/>
      <c r="F18" s="271" t="s">
        <v>86</v>
      </c>
      <c r="G18" s="270" t="s">
        <v>87</v>
      </c>
      <c r="H18" s="238" t="s">
        <v>88</v>
      </c>
      <c r="I18" s="259">
        <v>3000</v>
      </c>
      <c r="J18" s="259"/>
      <c r="K18" s="259"/>
      <c r="L18" s="260"/>
      <c r="M18" s="260"/>
      <c r="N18" s="260"/>
      <c r="O18" s="260"/>
      <c r="P18" s="259"/>
      <c r="Q18" s="254">
        <v>0</v>
      </c>
      <c r="R18" s="265"/>
      <c r="S18" s="260"/>
      <c r="T18" s="265"/>
      <c r="U18" s="252">
        <v>0</v>
      </c>
      <c r="V18" s="260">
        <f t="shared" si="0"/>
        <v>3000</v>
      </c>
      <c r="W18" s="238">
        <v>0</v>
      </c>
      <c r="X18" s="238">
        <v>0</v>
      </c>
      <c r="Y18" s="238"/>
      <c r="Z18" s="238"/>
      <c r="AA18" s="152">
        <f>VLOOKUP(C18,综合所得申报税款计算!B:AQ,42,0)</f>
        <v>0</v>
      </c>
      <c r="AB18" s="259">
        <f t="shared" si="1"/>
        <v>3000</v>
      </c>
      <c r="AC18" s="233" t="s">
        <v>89</v>
      </c>
    </row>
    <row r="19" s="233" customFormat="1" ht="26" customHeight="1" spans="1:28">
      <c r="A19" s="238">
        <v>17</v>
      </c>
      <c r="B19" s="238" t="s">
        <v>67</v>
      </c>
      <c r="C19" s="239" t="s">
        <v>90</v>
      </c>
      <c r="D19" s="240">
        <v>45246</v>
      </c>
      <c r="E19" s="238">
        <v>19538645875</v>
      </c>
      <c r="F19" s="271" t="s">
        <v>91</v>
      </c>
      <c r="G19" s="241" t="s">
        <v>92</v>
      </c>
      <c r="H19" s="238" t="s">
        <v>74</v>
      </c>
      <c r="I19" s="259">
        <v>1000</v>
      </c>
      <c r="J19" s="259">
        <v>1500</v>
      </c>
      <c r="K19" s="259">
        <v>500</v>
      </c>
      <c r="L19" s="260">
        <v>300</v>
      </c>
      <c r="M19" s="260"/>
      <c r="N19" s="260">
        <v>200</v>
      </c>
      <c r="O19" s="260"/>
      <c r="P19" s="259"/>
      <c r="Q19" s="254">
        <f>IFERROR(VLOOKUP(C19,考勤!C:AC,27,0),0)</f>
        <v>0</v>
      </c>
      <c r="R19" s="265">
        <v>406.579090909091</v>
      </c>
      <c r="S19" s="260"/>
      <c r="T19" s="265">
        <f>VLOOKUP(C19,项目奖金!G62:K86,5,0)</f>
        <v>10</v>
      </c>
      <c r="U19" s="252">
        <f>VLOOKUP(C19,考勤!C:Z,24,0)</f>
        <v>0</v>
      </c>
      <c r="V19" s="260">
        <f t="shared" si="0"/>
        <v>3896.58</v>
      </c>
      <c r="W19" s="238">
        <v>505.26</v>
      </c>
      <c r="X19" s="238">
        <v>0</v>
      </c>
      <c r="Y19" s="238"/>
      <c r="Z19" s="238"/>
      <c r="AA19" s="152">
        <f>VLOOKUP(C19,综合所得申报税款计算!B:AQ,42,0)</f>
        <v>0</v>
      </c>
      <c r="AB19" s="259">
        <f t="shared" si="1"/>
        <v>3391.32</v>
      </c>
    </row>
    <row r="20" s="233" customFormat="1" ht="26" customHeight="1" spans="1:28">
      <c r="A20" s="238">
        <v>18</v>
      </c>
      <c r="B20" s="238" t="s">
        <v>67</v>
      </c>
      <c r="C20" s="239" t="s">
        <v>93</v>
      </c>
      <c r="D20" s="240">
        <v>45245</v>
      </c>
      <c r="E20" s="238">
        <v>19301364772</v>
      </c>
      <c r="F20" s="271" t="s">
        <v>94</v>
      </c>
      <c r="G20" s="241" t="s">
        <v>95</v>
      </c>
      <c r="H20" s="238" t="s">
        <v>96</v>
      </c>
      <c r="I20" s="259">
        <v>2500</v>
      </c>
      <c r="J20" s="259">
        <v>2000</v>
      </c>
      <c r="K20" s="259">
        <v>1000</v>
      </c>
      <c r="L20" s="260">
        <v>300</v>
      </c>
      <c r="M20" s="260"/>
      <c r="N20" s="260">
        <v>200</v>
      </c>
      <c r="O20" s="260"/>
      <c r="P20" s="259"/>
      <c r="Q20" s="254">
        <f>IFERROR(VLOOKUP(C20,考勤!C:AC,27,0),0)</f>
        <v>0</v>
      </c>
      <c r="R20" s="265"/>
      <c r="S20" s="260"/>
      <c r="T20" s="265">
        <f>VLOOKUP(C20,项目奖金!G63:K87,5,0)</f>
        <v>15</v>
      </c>
      <c r="U20" s="252">
        <f>VLOOKUP(C20,考勤!C:Z,24,0)</f>
        <v>0</v>
      </c>
      <c r="V20" s="260">
        <f t="shared" si="0"/>
        <v>5985</v>
      </c>
      <c r="W20" s="238">
        <v>505.26</v>
      </c>
      <c r="X20" s="238">
        <v>0</v>
      </c>
      <c r="Y20" s="238"/>
      <c r="Z20" s="238"/>
      <c r="AA20" s="152">
        <f>VLOOKUP(C20,综合所得申报税款计算!B:AQ,42,0)</f>
        <v>0</v>
      </c>
      <c r="AB20" s="259">
        <f t="shared" si="1"/>
        <v>5479.74</v>
      </c>
    </row>
    <row r="21" s="234" customFormat="1" ht="29" customHeight="1" spans="1:31">
      <c r="A21" s="238">
        <v>19</v>
      </c>
      <c r="B21" s="77" t="s">
        <v>67</v>
      </c>
      <c r="C21" s="41" t="s">
        <v>97</v>
      </c>
      <c r="D21" s="243">
        <v>45340</v>
      </c>
      <c r="E21" s="77">
        <v>13349362523</v>
      </c>
      <c r="F21" s="272" t="s">
        <v>98</v>
      </c>
      <c r="G21" s="273" t="s">
        <v>99</v>
      </c>
      <c r="H21" s="77" t="s">
        <v>74</v>
      </c>
      <c r="I21" s="261">
        <v>2500</v>
      </c>
      <c r="J21" s="252">
        <v>800</v>
      </c>
      <c r="K21" s="252">
        <v>1000</v>
      </c>
      <c r="L21" s="252">
        <v>300</v>
      </c>
      <c r="M21" s="252"/>
      <c r="N21" s="252">
        <v>200</v>
      </c>
      <c r="O21" s="77"/>
      <c r="P21" s="77"/>
      <c r="Q21" s="254"/>
      <c r="R21" s="265">
        <f>VLOOKUP(C21,项目奖金!B66:E84,4,0)</f>
        <v>1559.1485475</v>
      </c>
      <c r="S21" s="260"/>
      <c r="T21" s="265">
        <f>VLOOKUP(C21,项目奖金!G64:K88,5,0)</f>
        <v>80</v>
      </c>
      <c r="U21" s="252">
        <f>VLOOKUP(C21,考勤!C:Z,24,0)</f>
        <v>0</v>
      </c>
      <c r="V21" s="260">
        <f t="shared" si="0"/>
        <v>6279.15</v>
      </c>
      <c r="W21" s="238">
        <v>505.26</v>
      </c>
      <c r="X21" s="238">
        <v>0</v>
      </c>
      <c r="Y21" s="238"/>
      <c r="Z21" s="77"/>
      <c r="AA21" s="152">
        <f>VLOOKUP(C21,综合所得申报税款计算!B:AQ,42,0)</f>
        <v>0</v>
      </c>
      <c r="AB21" s="259">
        <f t="shared" si="1"/>
        <v>5773.89</v>
      </c>
      <c r="AC21" s="235"/>
      <c r="AD21" s="235"/>
      <c r="AE21" s="235"/>
    </row>
    <row r="22" s="234" customFormat="1" ht="29" customHeight="1" spans="1:31">
      <c r="A22" s="238">
        <v>20</v>
      </c>
      <c r="B22" s="77" t="s">
        <v>67</v>
      </c>
      <c r="C22" s="41" t="s">
        <v>100</v>
      </c>
      <c r="D22" s="243">
        <v>45323</v>
      </c>
      <c r="E22" s="77">
        <v>18607129902</v>
      </c>
      <c r="F22" s="272" t="s">
        <v>101</v>
      </c>
      <c r="G22" s="273" t="s">
        <v>102</v>
      </c>
      <c r="H22" s="77" t="s">
        <v>60</v>
      </c>
      <c r="I22" s="261">
        <v>2200</v>
      </c>
      <c r="J22" s="252">
        <v>8000</v>
      </c>
      <c r="K22" s="252">
        <f>3000*90%</f>
        <v>2700</v>
      </c>
      <c r="L22" s="252">
        <v>1500</v>
      </c>
      <c r="M22" s="252"/>
      <c r="N22" s="252">
        <v>200</v>
      </c>
      <c r="O22" s="252">
        <v>100</v>
      </c>
      <c r="P22" s="77"/>
      <c r="Q22" s="254"/>
      <c r="R22" s="265"/>
      <c r="S22" s="252"/>
      <c r="T22" s="265">
        <v>400</v>
      </c>
      <c r="U22" s="252">
        <f>VLOOKUP(C22,考勤!C:Z,24,0)</f>
        <v>3142.85714285714</v>
      </c>
      <c r="V22" s="260">
        <f t="shared" si="0"/>
        <v>11157.14</v>
      </c>
      <c r="W22" s="238">
        <v>505.26</v>
      </c>
      <c r="X22" s="238">
        <v>0</v>
      </c>
      <c r="Y22" s="238"/>
      <c r="Z22" s="77"/>
      <c r="AA22" s="152">
        <f>VLOOKUP(C22,综合所得申报税款计算!B:AQ,42,0)</f>
        <v>565.19</v>
      </c>
      <c r="AB22" s="259">
        <f t="shared" si="1"/>
        <v>10086.69</v>
      </c>
      <c r="AC22" s="235"/>
      <c r="AD22" s="235"/>
      <c r="AE22" s="235"/>
    </row>
    <row r="23" s="234" customFormat="1" ht="24" customHeight="1" spans="1:31">
      <c r="A23" s="238">
        <v>21</v>
      </c>
      <c r="B23" s="77" t="s">
        <v>67</v>
      </c>
      <c r="C23" s="41" t="s">
        <v>103</v>
      </c>
      <c r="D23" s="245">
        <v>45357</v>
      </c>
      <c r="E23" s="246">
        <v>15967178548</v>
      </c>
      <c r="F23" s="274" t="s">
        <v>104</v>
      </c>
      <c r="G23" s="247" t="str">
        <f>VLOOKUP(C23,[4]银行卡信息!$B$1:$C$65536,2,0)</f>
        <v>6228580199085264066</v>
      </c>
      <c r="H23" s="247" t="str">
        <f>VLOOKUP(C23,[4]银行卡信息!$B$1:$D$65536,3,0)</f>
        <v>浙江农商联合银行 储蓄卡</v>
      </c>
      <c r="I23" s="261">
        <v>2500</v>
      </c>
      <c r="J23" s="261">
        <v>1500</v>
      </c>
      <c r="K23" s="261">
        <v>1000</v>
      </c>
      <c r="L23" s="261">
        <v>300</v>
      </c>
      <c r="M23" s="261"/>
      <c r="N23" s="261">
        <v>200</v>
      </c>
      <c r="O23" s="261"/>
      <c r="P23" s="247"/>
      <c r="Q23" s="247"/>
      <c r="R23" s="265">
        <f>VLOOKUP(C23,项目奖金!B68:E86,4,0)</f>
        <v>1732.2</v>
      </c>
      <c r="S23" s="260"/>
      <c r="T23" s="265">
        <f>VLOOKUP(C23,项目奖金!G66:K90,5,0)</f>
        <v>20</v>
      </c>
      <c r="U23" s="252">
        <f>VLOOKUP(C23,考勤!C:Z,24,0)</f>
        <v>0</v>
      </c>
      <c r="V23" s="260">
        <f t="shared" si="0"/>
        <v>7212.2</v>
      </c>
      <c r="W23" s="238">
        <v>505.26</v>
      </c>
      <c r="X23" s="238">
        <v>0</v>
      </c>
      <c r="Y23" s="238"/>
      <c r="Z23" s="247"/>
      <c r="AA23" s="152">
        <f>VLOOKUP(C23,综合所得申报税款计算!B:AQ,42,0)</f>
        <v>0</v>
      </c>
      <c r="AB23" s="259">
        <f t="shared" si="1"/>
        <v>6706.94</v>
      </c>
      <c r="AC23" s="235"/>
      <c r="AD23" s="235"/>
      <c r="AE23" s="235"/>
    </row>
    <row r="24" s="234" customFormat="1" ht="24" customHeight="1" spans="1:31">
      <c r="A24" s="238">
        <v>22</v>
      </c>
      <c r="B24" s="77" t="s">
        <v>67</v>
      </c>
      <c r="C24" s="41" t="s">
        <v>105</v>
      </c>
      <c r="D24" s="245">
        <v>45355</v>
      </c>
      <c r="E24" s="246">
        <v>15645046649</v>
      </c>
      <c r="F24" s="274" t="s">
        <v>106</v>
      </c>
      <c r="G24" s="247" t="str">
        <f>VLOOKUP(C24,[4]银行卡信息!$B$1:$C$65536,2,0)</f>
        <v>6230910199094041551</v>
      </c>
      <c r="H24" s="247" t="str">
        <f>VLOOKUP(C24,[4]银行卡信息!$B$1:$D$65536,3,0)</f>
        <v>杭州联合银行石祥支行</v>
      </c>
      <c r="I24" s="261">
        <v>2500</v>
      </c>
      <c r="J24" s="261">
        <v>1000</v>
      </c>
      <c r="K24" s="261">
        <v>1000</v>
      </c>
      <c r="L24" s="261">
        <v>300</v>
      </c>
      <c r="M24" s="261">
        <v>1000</v>
      </c>
      <c r="N24" s="261">
        <v>200</v>
      </c>
      <c r="O24" s="261"/>
      <c r="P24" s="247"/>
      <c r="Q24" s="247"/>
      <c r="R24" s="265">
        <v>3060.76666666667</v>
      </c>
      <c r="S24" s="260"/>
      <c r="T24" s="265">
        <f>VLOOKUP(C24,项目奖金!G67:K91,5,0)</f>
        <v>120</v>
      </c>
      <c r="U24" s="252">
        <f>VLOOKUP(C24,考勤!C:Z,24,0)</f>
        <v>0</v>
      </c>
      <c r="V24" s="260">
        <f t="shared" si="0"/>
        <v>8940.77</v>
      </c>
      <c r="W24" s="238">
        <v>505.26</v>
      </c>
      <c r="X24" s="238">
        <v>0</v>
      </c>
      <c r="Y24" s="238"/>
      <c r="Z24" s="247"/>
      <c r="AA24" s="152">
        <f>VLOOKUP(C24,综合所得申报税款计算!B:AQ,42,0)</f>
        <v>0</v>
      </c>
      <c r="AB24" s="259">
        <f t="shared" si="1"/>
        <v>8435.51</v>
      </c>
      <c r="AC24" s="235"/>
      <c r="AD24" s="235"/>
      <c r="AE24" s="235"/>
    </row>
    <row r="25" s="233" customFormat="1" ht="26" customHeight="1" spans="1:28">
      <c r="A25" s="238">
        <v>23</v>
      </c>
      <c r="B25" s="77" t="s">
        <v>67</v>
      </c>
      <c r="C25" s="41" t="s">
        <v>107</v>
      </c>
      <c r="D25" s="245">
        <v>45497</v>
      </c>
      <c r="E25" s="246">
        <v>18899851496</v>
      </c>
      <c r="F25" s="271" t="s">
        <v>108</v>
      </c>
      <c r="G25" s="270" t="s">
        <v>109</v>
      </c>
      <c r="H25" s="247" t="s">
        <v>60</v>
      </c>
      <c r="I25" s="259">
        <v>2500</v>
      </c>
      <c r="J25" s="259">
        <v>200</v>
      </c>
      <c r="K25" s="259">
        <v>1000</v>
      </c>
      <c r="L25" s="260">
        <v>300</v>
      </c>
      <c r="M25" s="260"/>
      <c r="N25" s="260">
        <v>200</v>
      </c>
      <c r="O25" s="260"/>
      <c r="P25" s="259"/>
      <c r="Q25" s="254"/>
      <c r="R25" s="265">
        <f>VLOOKUP(C25,项目奖金!B70:E88,4,0)</f>
        <v>1732.2</v>
      </c>
      <c r="S25" s="260"/>
      <c r="T25" s="265">
        <f>VLOOKUP(C25,项目奖金!G68:K92,5,0)</f>
        <v>40</v>
      </c>
      <c r="U25" s="252">
        <f>VLOOKUP(C25,考勤!C:Z,24,0)</f>
        <v>0</v>
      </c>
      <c r="V25" s="260">
        <f t="shared" si="0"/>
        <v>5892.2</v>
      </c>
      <c r="W25" s="238">
        <v>505.26</v>
      </c>
      <c r="X25" s="238">
        <v>0</v>
      </c>
      <c r="Y25" s="238"/>
      <c r="Z25" s="238"/>
      <c r="AA25" s="152">
        <f>VLOOKUP(C25,综合所得申报税款计算!B:AQ,42,0)</f>
        <v>0</v>
      </c>
      <c r="AB25" s="259">
        <f t="shared" si="1"/>
        <v>5386.94</v>
      </c>
    </row>
    <row r="26" s="234" customFormat="1" ht="24" customHeight="1" spans="1:31">
      <c r="A26" s="238">
        <v>24</v>
      </c>
      <c r="B26" s="77" t="s">
        <v>67</v>
      </c>
      <c r="C26" s="41" t="s">
        <v>110</v>
      </c>
      <c r="D26" s="243">
        <v>45537</v>
      </c>
      <c r="E26" s="246">
        <v>17687224324</v>
      </c>
      <c r="F26" s="275" t="s">
        <v>111</v>
      </c>
      <c r="G26" s="247" t="s">
        <v>112</v>
      </c>
      <c r="H26" s="77" t="s">
        <v>113</v>
      </c>
      <c r="I26" s="254">
        <v>3000</v>
      </c>
      <c r="J26" s="261">
        <v>300</v>
      </c>
      <c r="K26" s="261">
        <v>700</v>
      </c>
      <c r="L26" s="261">
        <v>100</v>
      </c>
      <c r="M26" s="261"/>
      <c r="N26" s="261">
        <v>100</v>
      </c>
      <c r="O26" s="261"/>
      <c r="P26" s="247"/>
      <c r="Q26" s="247"/>
      <c r="R26" s="265">
        <v>560.3325</v>
      </c>
      <c r="S26" s="252"/>
      <c r="T26" s="265">
        <f>VLOOKUP(C26,项目奖金!G69:K93,5,0)</f>
        <v>0</v>
      </c>
      <c r="U26" s="252">
        <f>VLOOKUP(C26,考勤!C:Z,24,0)</f>
        <v>0</v>
      </c>
      <c r="V26" s="260">
        <f t="shared" si="0"/>
        <v>4760.33</v>
      </c>
      <c r="W26" s="238">
        <v>0</v>
      </c>
      <c r="X26" s="238">
        <v>0</v>
      </c>
      <c r="Y26" s="238"/>
      <c r="Z26" s="247">
        <v>50</v>
      </c>
      <c r="AA26" s="152">
        <f>VLOOKUP(C26,综合所得申报税款计算!B:AQ,42,0)</f>
        <v>0</v>
      </c>
      <c r="AB26" s="259">
        <f t="shared" si="1"/>
        <v>4710.33</v>
      </c>
      <c r="AC26" s="235"/>
      <c r="AD26" s="235"/>
      <c r="AE26" s="235"/>
    </row>
    <row r="27" s="234" customFormat="1" ht="24" customHeight="1" spans="1:31">
      <c r="A27" s="238">
        <v>25</v>
      </c>
      <c r="B27" s="77" t="s">
        <v>67</v>
      </c>
      <c r="C27" s="41" t="s">
        <v>114</v>
      </c>
      <c r="D27" s="243">
        <v>45541</v>
      </c>
      <c r="E27" s="246">
        <v>16652047710</v>
      </c>
      <c r="F27" s="275" t="s">
        <v>115</v>
      </c>
      <c r="G27" s="274" t="s">
        <v>116</v>
      </c>
      <c r="H27" s="247" t="s">
        <v>60</v>
      </c>
      <c r="I27" s="254">
        <v>3000</v>
      </c>
      <c r="J27" s="261">
        <v>300</v>
      </c>
      <c r="K27" s="261">
        <v>700</v>
      </c>
      <c r="L27" s="261">
        <v>100</v>
      </c>
      <c r="M27" s="261"/>
      <c r="N27" s="261">
        <v>100</v>
      </c>
      <c r="O27" s="261"/>
      <c r="P27" s="247"/>
      <c r="Q27" s="247"/>
      <c r="R27" s="265">
        <v>406.579090909091</v>
      </c>
      <c r="S27" s="252"/>
      <c r="T27" s="265">
        <f>VLOOKUP(C27,项目奖金!G70:K94,5,0)</f>
        <v>0</v>
      </c>
      <c r="U27" s="252">
        <f>VLOOKUP(C27,考勤!C:Z,24,0)</f>
        <v>0</v>
      </c>
      <c r="V27" s="260">
        <f t="shared" si="0"/>
        <v>4606.58</v>
      </c>
      <c r="W27" s="238">
        <v>505.26</v>
      </c>
      <c r="X27" s="238">
        <v>0</v>
      </c>
      <c r="Y27" s="238"/>
      <c r="Z27" s="247">
        <v>50</v>
      </c>
      <c r="AA27" s="152">
        <f>VLOOKUP(C27,综合所得申报税款计算!B:AQ,42,0)</f>
        <v>0</v>
      </c>
      <c r="AB27" s="259">
        <f t="shared" si="1"/>
        <v>4051.32</v>
      </c>
      <c r="AC27" s="235"/>
      <c r="AD27" s="235"/>
      <c r="AE27" s="235"/>
    </row>
    <row r="28" s="233" customFormat="1" ht="26" customHeight="1" spans="1:28">
      <c r="A28" s="238">
        <v>26</v>
      </c>
      <c r="B28" s="77" t="s">
        <v>67</v>
      </c>
      <c r="C28" s="78" t="s">
        <v>117</v>
      </c>
      <c r="D28" s="243">
        <v>45614</v>
      </c>
      <c r="E28" s="238">
        <v>18995951878</v>
      </c>
      <c r="F28" s="271" t="s">
        <v>118</v>
      </c>
      <c r="G28" s="270" t="s">
        <v>119</v>
      </c>
      <c r="H28" s="247" t="s">
        <v>56</v>
      </c>
      <c r="I28" s="254">
        <v>3000</v>
      </c>
      <c r="J28" s="261">
        <v>300</v>
      </c>
      <c r="K28" s="261">
        <v>700</v>
      </c>
      <c r="L28" s="261">
        <v>100</v>
      </c>
      <c r="M28" s="261"/>
      <c r="N28" s="261">
        <v>100</v>
      </c>
      <c r="O28" s="260"/>
      <c r="P28" s="259"/>
      <c r="Q28" s="254"/>
      <c r="R28" s="265">
        <v>406.579090909091</v>
      </c>
      <c r="S28" s="260"/>
      <c r="T28" s="265">
        <f>VLOOKUP(C28,项目奖金!G71:K95,5,0)</f>
        <v>0</v>
      </c>
      <c r="U28" s="252">
        <f>VLOOKUP(C28,考勤!C:Z,24,0)</f>
        <v>2423.07692307692</v>
      </c>
      <c r="V28" s="260">
        <f t="shared" si="0"/>
        <v>2183.5</v>
      </c>
      <c r="W28" s="238">
        <v>0</v>
      </c>
      <c r="X28" s="238">
        <v>0</v>
      </c>
      <c r="Y28" s="238"/>
      <c r="Z28" s="238"/>
      <c r="AA28" s="152">
        <f>VLOOKUP(C28,综合所得申报税款计算!B:AQ,42,0)</f>
        <v>0</v>
      </c>
      <c r="AB28" s="259">
        <f t="shared" si="1"/>
        <v>2183.5</v>
      </c>
    </row>
    <row r="29" s="233" customFormat="1" ht="26" customHeight="1" spans="1:28">
      <c r="A29" s="238">
        <v>27</v>
      </c>
      <c r="B29" s="77" t="s">
        <v>67</v>
      </c>
      <c r="C29" s="78" t="s">
        <v>120</v>
      </c>
      <c r="D29" s="243">
        <v>45622</v>
      </c>
      <c r="E29" s="241">
        <v>19210966195</v>
      </c>
      <c r="F29" s="271" t="s">
        <v>121</v>
      </c>
      <c r="G29" s="270" t="s">
        <v>122</v>
      </c>
      <c r="H29" s="241" t="s">
        <v>123</v>
      </c>
      <c r="I29" s="254">
        <v>3000</v>
      </c>
      <c r="J29" s="261">
        <v>300</v>
      </c>
      <c r="K29" s="261">
        <v>700</v>
      </c>
      <c r="L29" s="261">
        <v>100</v>
      </c>
      <c r="M29" s="261"/>
      <c r="N29" s="261">
        <v>100</v>
      </c>
      <c r="O29" s="260"/>
      <c r="P29" s="259"/>
      <c r="Q29" s="254"/>
      <c r="R29" s="265">
        <v>58.0827272727273</v>
      </c>
      <c r="S29" s="260"/>
      <c r="T29" s="265">
        <f>VLOOKUP(C29,项目奖金!G72:K96,5,0)</f>
        <v>0</v>
      </c>
      <c r="U29" s="252">
        <f>VLOOKUP(C29,考勤!C:Z,24,0)</f>
        <v>3392.30769230769</v>
      </c>
      <c r="V29" s="260">
        <f t="shared" si="0"/>
        <v>865.78</v>
      </c>
      <c r="W29" s="238">
        <v>0</v>
      </c>
      <c r="X29" s="238">
        <v>0</v>
      </c>
      <c r="Y29" s="238"/>
      <c r="Z29" s="238"/>
      <c r="AA29" s="152">
        <f>VLOOKUP(C29,综合所得申报税款计算!B:AQ,42,0)</f>
        <v>0</v>
      </c>
      <c r="AB29" s="259">
        <f t="shared" si="1"/>
        <v>865.78</v>
      </c>
    </row>
    <row r="30" s="233" customFormat="1" ht="26" customHeight="1" spans="1:28">
      <c r="A30" s="238">
        <v>28</v>
      </c>
      <c r="B30" s="238" t="s">
        <v>47</v>
      </c>
      <c r="C30" s="239" t="s">
        <v>124</v>
      </c>
      <c r="D30" s="249">
        <v>45206</v>
      </c>
      <c r="E30" s="238">
        <v>13335717300</v>
      </c>
      <c r="F30" s="271" t="s">
        <v>125</v>
      </c>
      <c r="G30" s="241" t="s">
        <v>126</v>
      </c>
      <c r="H30" s="238" t="s">
        <v>127</v>
      </c>
      <c r="I30" s="259">
        <v>2500</v>
      </c>
      <c r="J30" s="259">
        <v>4700</v>
      </c>
      <c r="K30" s="259">
        <v>4000</v>
      </c>
      <c r="L30" s="260">
        <v>500</v>
      </c>
      <c r="M30" s="260"/>
      <c r="N30" s="260">
        <v>200</v>
      </c>
      <c r="O30" s="260">
        <v>100</v>
      </c>
      <c r="P30" s="259">
        <v>50</v>
      </c>
      <c r="Q30" s="254">
        <f>IFERROR(VLOOKUP(C30,考勤!C:AC,27,0),0)</f>
        <v>0</v>
      </c>
      <c r="R30" s="265">
        <v>522</v>
      </c>
      <c r="S30" s="260"/>
      <c r="T30" s="252"/>
      <c r="U30" s="252">
        <f>VLOOKUP(C30,考勤!C:Z,24,0)</f>
        <v>0</v>
      </c>
      <c r="V30" s="260">
        <f t="shared" si="0"/>
        <v>12572</v>
      </c>
      <c r="W30" s="238">
        <v>505.26</v>
      </c>
      <c r="X30" s="238">
        <v>0</v>
      </c>
      <c r="Y30" s="238"/>
      <c r="Z30" s="238"/>
      <c r="AA30" s="152">
        <f>VLOOKUP(C30,综合所得申报税款计算!B:AQ,42,0)</f>
        <v>706.67</v>
      </c>
      <c r="AB30" s="259">
        <f t="shared" si="1"/>
        <v>11360.07</v>
      </c>
    </row>
    <row r="31" s="234" customFormat="1" ht="24" customHeight="1" spans="1:31">
      <c r="A31" s="238">
        <v>29</v>
      </c>
      <c r="B31" s="77" t="s">
        <v>128</v>
      </c>
      <c r="C31" s="41" t="s">
        <v>129</v>
      </c>
      <c r="D31" s="245">
        <v>45425</v>
      </c>
      <c r="E31" s="246">
        <v>15057129477</v>
      </c>
      <c r="F31" s="274" t="s">
        <v>130</v>
      </c>
      <c r="G31" s="274" t="s">
        <v>131</v>
      </c>
      <c r="H31" s="247" t="s">
        <v>132</v>
      </c>
      <c r="I31" s="261">
        <v>2500</v>
      </c>
      <c r="J31" s="261">
        <v>3300</v>
      </c>
      <c r="K31" s="261">
        <v>2200</v>
      </c>
      <c r="L31" s="261">
        <v>300</v>
      </c>
      <c r="M31" s="261"/>
      <c r="N31" s="261">
        <v>200</v>
      </c>
      <c r="O31" s="261"/>
      <c r="P31" s="247"/>
      <c r="Q31" s="247"/>
      <c r="R31" s="266"/>
      <c r="S31" s="247"/>
      <c r="T31" s="247"/>
      <c r="U31" s="252">
        <f>VLOOKUP(C31,考勤!C:Z,24,0)</f>
        <v>95.2380952380952</v>
      </c>
      <c r="V31" s="260">
        <f t="shared" si="0"/>
        <v>8404.76</v>
      </c>
      <c r="W31" s="238">
        <v>505.26</v>
      </c>
      <c r="X31" s="238">
        <v>0</v>
      </c>
      <c r="Y31" s="238">
        <v>299</v>
      </c>
      <c r="Z31" s="247"/>
      <c r="AA31" s="152">
        <f>VLOOKUP(C31,综合所得申报税款计算!B:AQ,42,0)</f>
        <v>78.01</v>
      </c>
      <c r="AB31" s="259">
        <f t="shared" si="1"/>
        <v>7522.49</v>
      </c>
      <c r="AC31" s="235"/>
      <c r="AD31" s="235"/>
      <c r="AE31" s="235"/>
    </row>
    <row r="32" s="235" customFormat="1" ht="26" customHeight="1" spans="1:28">
      <c r="A32" s="238">
        <v>30</v>
      </c>
      <c r="B32" s="77" t="s">
        <v>128</v>
      </c>
      <c r="C32" s="41" t="s">
        <v>133</v>
      </c>
      <c r="D32" s="250">
        <v>45215</v>
      </c>
      <c r="E32" s="77">
        <v>18317837516</v>
      </c>
      <c r="F32" s="272" t="s">
        <v>134</v>
      </c>
      <c r="G32" s="244" t="s">
        <v>135</v>
      </c>
      <c r="H32" s="77" t="s">
        <v>60</v>
      </c>
      <c r="I32" s="259">
        <v>2500</v>
      </c>
      <c r="J32" s="259">
        <v>2000</v>
      </c>
      <c r="K32" s="259">
        <v>1200</v>
      </c>
      <c r="L32" s="260">
        <v>300</v>
      </c>
      <c r="M32" s="260"/>
      <c r="N32" s="260">
        <v>200</v>
      </c>
      <c r="O32" s="252"/>
      <c r="P32" s="254">
        <v>50</v>
      </c>
      <c r="Q32" s="254">
        <f>IFERROR(VLOOKUP(C32,考勤!C:AC,27,0),0)</f>
        <v>0</v>
      </c>
      <c r="R32" s="265"/>
      <c r="S32" s="252"/>
      <c r="T32" s="252"/>
      <c r="U32" s="252">
        <f>VLOOKUP(C32,考勤!C:Z,24,0)</f>
        <v>0</v>
      </c>
      <c r="V32" s="260">
        <f t="shared" si="0"/>
        <v>6250</v>
      </c>
      <c r="W32" s="238">
        <v>505.26</v>
      </c>
      <c r="X32" s="238">
        <v>0</v>
      </c>
      <c r="Y32" s="238">
        <v>299</v>
      </c>
      <c r="Z32" s="77">
        <v>299</v>
      </c>
      <c r="AA32" s="152">
        <f>VLOOKUP(C32,综合所得申报税款计算!B:AQ,42,0)</f>
        <v>0</v>
      </c>
      <c r="AB32" s="259">
        <f t="shared" si="1"/>
        <v>5146.74</v>
      </c>
    </row>
    <row r="33" s="235" customFormat="1" ht="26" customHeight="1" spans="1:28">
      <c r="A33" s="238">
        <v>31</v>
      </c>
      <c r="B33" s="77" t="s">
        <v>30</v>
      </c>
      <c r="C33" s="41" t="s">
        <v>136</v>
      </c>
      <c r="D33" s="250">
        <v>45280</v>
      </c>
      <c r="E33" s="77">
        <v>15393174188</v>
      </c>
      <c r="F33" s="77" t="s">
        <v>137</v>
      </c>
      <c r="G33" s="244" t="s">
        <v>138</v>
      </c>
      <c r="H33" s="77" t="s">
        <v>74</v>
      </c>
      <c r="I33" s="259">
        <v>2500</v>
      </c>
      <c r="J33" s="259">
        <v>4000</v>
      </c>
      <c r="K33" s="259">
        <v>1000</v>
      </c>
      <c r="L33" s="260">
        <v>300</v>
      </c>
      <c r="M33" s="260"/>
      <c r="N33" s="260">
        <v>200</v>
      </c>
      <c r="O33" s="252"/>
      <c r="P33" s="254"/>
      <c r="Q33" s="254">
        <f>IFERROR(VLOOKUP(C33,考勤!C:AC,27,0),0)</f>
        <v>0</v>
      </c>
      <c r="R33" s="265"/>
      <c r="S33" s="252"/>
      <c r="T33" s="252"/>
      <c r="U33" s="252">
        <f>VLOOKUP(C33,考勤!C:Z,24,0)</f>
        <v>0</v>
      </c>
      <c r="V33" s="260">
        <f t="shared" si="0"/>
        <v>8000</v>
      </c>
      <c r="W33" s="238">
        <v>505.26</v>
      </c>
      <c r="X33" s="238">
        <v>0</v>
      </c>
      <c r="Y33" s="238"/>
      <c r="Z33" s="77"/>
      <c r="AA33" s="152">
        <f>VLOOKUP(C33,综合所得申报税款计算!B:AQ,42,0)</f>
        <v>0</v>
      </c>
      <c r="AB33" s="259">
        <f t="shared" si="1"/>
        <v>7494.74</v>
      </c>
    </row>
    <row r="34" s="234" customFormat="1" ht="29" customHeight="1" spans="1:31">
      <c r="A34" s="238">
        <v>32</v>
      </c>
      <c r="B34" s="77" t="s">
        <v>30</v>
      </c>
      <c r="C34" s="41" t="s">
        <v>139</v>
      </c>
      <c r="D34" s="243">
        <v>45308</v>
      </c>
      <c r="E34" s="77">
        <v>18382377908</v>
      </c>
      <c r="F34" s="272" t="s">
        <v>140</v>
      </c>
      <c r="G34" s="77" t="s">
        <v>141</v>
      </c>
      <c r="H34" s="77" t="s">
        <v>142</v>
      </c>
      <c r="I34" s="252">
        <v>2500</v>
      </c>
      <c r="J34" s="252">
        <v>2300</v>
      </c>
      <c r="K34" s="252">
        <v>2000</v>
      </c>
      <c r="L34" s="252">
        <v>300</v>
      </c>
      <c r="M34" s="252"/>
      <c r="N34" s="252">
        <v>200</v>
      </c>
      <c r="O34" s="77"/>
      <c r="P34" s="77"/>
      <c r="Q34" s="254">
        <f>IFERROR(VLOOKUP(C34,考勤!C:AC,27,0),0)</f>
        <v>0</v>
      </c>
      <c r="R34" s="265"/>
      <c r="S34" s="252"/>
      <c r="T34" s="252"/>
      <c r="U34" s="252">
        <f>VLOOKUP(C34,考勤!C:Z,24,0)</f>
        <v>0</v>
      </c>
      <c r="V34" s="260">
        <f t="shared" si="0"/>
        <v>7300</v>
      </c>
      <c r="W34" s="238">
        <v>505.26</v>
      </c>
      <c r="X34" s="238">
        <v>0</v>
      </c>
      <c r="Y34" s="238"/>
      <c r="Z34" s="77"/>
      <c r="AA34" s="152">
        <f>VLOOKUP(C34,综合所得申报税款计算!B:AQ,42,0)</f>
        <v>53.84</v>
      </c>
      <c r="AB34" s="259">
        <f t="shared" si="1"/>
        <v>6740.9</v>
      </c>
      <c r="AC34" s="235"/>
      <c r="AD34" s="235"/>
      <c r="AE34" s="235"/>
    </row>
    <row r="35" s="234" customFormat="1" ht="29" customHeight="1" spans="1:31">
      <c r="A35" s="238">
        <v>33</v>
      </c>
      <c r="B35" s="238" t="s">
        <v>143</v>
      </c>
      <c r="C35" s="242" t="s">
        <v>144</v>
      </c>
      <c r="D35" s="243">
        <v>45520</v>
      </c>
      <c r="E35" s="77">
        <v>17609375726</v>
      </c>
      <c r="F35" s="272" t="s">
        <v>145</v>
      </c>
      <c r="G35" s="276" t="s">
        <v>146</v>
      </c>
      <c r="H35" s="77" t="s">
        <v>147</v>
      </c>
      <c r="I35" s="252">
        <v>3000</v>
      </c>
      <c r="J35" s="252">
        <v>1700</v>
      </c>
      <c r="K35" s="252">
        <v>2000</v>
      </c>
      <c r="L35" s="252">
        <v>300</v>
      </c>
      <c r="M35" s="252"/>
      <c r="N35" s="252">
        <v>200</v>
      </c>
      <c r="O35" s="77"/>
      <c r="P35" s="77"/>
      <c r="Q35" s="254"/>
      <c r="R35" s="265"/>
      <c r="S35" s="252"/>
      <c r="T35" s="252">
        <f>700/26*13</f>
        <v>350</v>
      </c>
      <c r="U35" s="252">
        <f>VLOOKUP(C35,考勤!C:Z,24,0)</f>
        <v>548.076923076923</v>
      </c>
      <c r="V35" s="260">
        <f t="shared" si="0"/>
        <v>6301.92</v>
      </c>
      <c r="W35" s="238">
        <v>505.26</v>
      </c>
      <c r="X35" s="238">
        <v>0</v>
      </c>
      <c r="Y35" s="238"/>
      <c r="Z35" s="77"/>
      <c r="AA35" s="152">
        <f>VLOOKUP(C35,综合所得申报税款计算!B:AQ,42,0)</f>
        <v>1.04</v>
      </c>
      <c r="AB35" s="259">
        <f t="shared" si="1"/>
        <v>5795.62</v>
      </c>
      <c r="AC35" s="235"/>
      <c r="AD35" s="235"/>
      <c r="AE35" s="235"/>
    </row>
    <row r="36" s="234" customFormat="1" ht="29" customHeight="1" spans="1:31">
      <c r="A36" s="238">
        <v>34</v>
      </c>
      <c r="B36" s="77" t="s">
        <v>143</v>
      </c>
      <c r="C36" s="41" t="s">
        <v>148</v>
      </c>
      <c r="D36" s="243">
        <v>45296</v>
      </c>
      <c r="E36" s="77">
        <v>15798059640</v>
      </c>
      <c r="F36" s="272" t="s">
        <v>149</v>
      </c>
      <c r="G36" s="77" t="s">
        <v>150</v>
      </c>
      <c r="H36" s="77" t="s">
        <v>151</v>
      </c>
      <c r="I36" s="252">
        <v>2500</v>
      </c>
      <c r="J36" s="252">
        <v>2300</v>
      </c>
      <c r="K36" s="252">
        <v>2000</v>
      </c>
      <c r="L36" s="252">
        <v>300</v>
      </c>
      <c r="M36" s="252"/>
      <c r="N36" s="252">
        <v>200</v>
      </c>
      <c r="O36" s="77"/>
      <c r="P36" s="77"/>
      <c r="Q36" s="254">
        <f>IFERROR(VLOOKUP(C36,考勤!C:AC,27,0),0)</f>
        <v>0</v>
      </c>
      <c r="R36" s="265"/>
      <c r="S36" s="252"/>
      <c r="T36" s="252"/>
      <c r="U36" s="252">
        <f>VLOOKUP(C36,考勤!C:Z,24,0)</f>
        <v>0</v>
      </c>
      <c r="V36" s="260">
        <f t="shared" si="0"/>
        <v>7300</v>
      </c>
      <c r="W36" s="238">
        <v>505.26</v>
      </c>
      <c r="X36" s="238">
        <v>0</v>
      </c>
      <c r="Y36" s="238"/>
      <c r="Z36" s="77"/>
      <c r="AA36" s="152">
        <f>VLOOKUP(C36,综合所得申报税款计算!B:AQ,42,0)</f>
        <v>53.84</v>
      </c>
      <c r="AB36" s="259">
        <f t="shared" si="1"/>
        <v>6740.9</v>
      </c>
      <c r="AC36" s="235"/>
      <c r="AD36" s="235"/>
      <c r="AE36" s="235"/>
    </row>
    <row r="37" s="234" customFormat="1" ht="29" customHeight="1" spans="1:31">
      <c r="A37" s="238">
        <v>35</v>
      </c>
      <c r="B37" s="77" t="s">
        <v>152</v>
      </c>
      <c r="C37" s="41" t="s">
        <v>153</v>
      </c>
      <c r="D37" s="243">
        <v>45505</v>
      </c>
      <c r="E37" s="77">
        <v>15158129610</v>
      </c>
      <c r="F37" s="272" t="s">
        <v>154</v>
      </c>
      <c r="G37" s="272" t="s">
        <v>155</v>
      </c>
      <c r="H37" s="77" t="s">
        <v>74</v>
      </c>
      <c r="I37" s="254">
        <v>3000</v>
      </c>
      <c r="J37" s="254">
        <v>7000</v>
      </c>
      <c r="K37" s="254">
        <v>8000</v>
      </c>
      <c r="L37" s="252">
        <v>500</v>
      </c>
      <c r="M37" s="252"/>
      <c r="N37" s="252">
        <v>1500</v>
      </c>
      <c r="O37" s="77"/>
      <c r="P37" s="77"/>
      <c r="Q37" s="254"/>
      <c r="R37" s="265"/>
      <c r="S37" s="252"/>
      <c r="T37" s="252"/>
      <c r="U37" s="252">
        <f>VLOOKUP(C37,考勤!C:Z,24,0)</f>
        <v>0</v>
      </c>
      <c r="V37" s="260">
        <f t="shared" si="0"/>
        <v>20000</v>
      </c>
      <c r="W37" s="238">
        <v>505.26</v>
      </c>
      <c r="X37" s="238">
        <v>0</v>
      </c>
      <c r="Y37" s="238">
        <v>1200</v>
      </c>
      <c r="Z37" s="77"/>
      <c r="AA37" s="152">
        <f>VLOOKUP(C37,综合所得申报税款计算!B:AQ,42,0)</f>
        <v>1329.48</v>
      </c>
      <c r="AB37" s="259">
        <f t="shared" ref="AB37:AB58" si="2">ROUND(V37-SUM(W37:AA37),2)</f>
        <v>16965.26</v>
      </c>
      <c r="AC37" s="235"/>
      <c r="AD37" s="235"/>
      <c r="AE37" s="235"/>
    </row>
    <row r="38" s="234" customFormat="1" ht="24" customHeight="1" spans="1:31">
      <c r="A38" s="238">
        <v>36</v>
      </c>
      <c r="B38" s="77" t="s">
        <v>152</v>
      </c>
      <c r="C38" s="41" t="s">
        <v>156</v>
      </c>
      <c r="D38" s="245">
        <v>45376</v>
      </c>
      <c r="E38" s="246">
        <v>18507195076</v>
      </c>
      <c r="F38" s="274" t="s">
        <v>157</v>
      </c>
      <c r="G38" s="247" t="str">
        <f>VLOOKUP(C38,[4]银行卡信息!$B$1:$C$65536,2,0)</f>
        <v>6230910199171926930</v>
      </c>
      <c r="H38" s="247" t="str">
        <f>VLOOKUP(C38,[4]银行卡信息!$B$1:$D$65536,3,0)</f>
        <v>杭州联合银行(杭州石祥支行)</v>
      </c>
      <c r="I38" s="261">
        <v>2200</v>
      </c>
      <c r="J38" s="261">
        <v>5000</v>
      </c>
      <c r="K38" s="261">
        <v>3000</v>
      </c>
      <c r="L38" s="261">
        <v>1500</v>
      </c>
      <c r="M38" s="261"/>
      <c r="N38" s="261">
        <v>200</v>
      </c>
      <c r="O38" s="261">
        <v>100</v>
      </c>
      <c r="P38" s="247"/>
      <c r="Q38" s="247"/>
      <c r="R38" s="265">
        <v>668.82</v>
      </c>
      <c r="S38" s="252"/>
      <c r="T38" s="252"/>
      <c r="U38" s="252">
        <f>VLOOKUP(C38,考勤!C:Z,24,0)</f>
        <v>0</v>
      </c>
      <c r="V38" s="260">
        <f t="shared" si="0"/>
        <v>12668.82</v>
      </c>
      <c r="W38" s="238">
        <v>505.26</v>
      </c>
      <c r="X38" s="238">
        <v>0</v>
      </c>
      <c r="Y38" s="238"/>
      <c r="Z38" s="247"/>
      <c r="AA38" s="152">
        <f>VLOOKUP(C38,综合所得申报税款计算!B:AQ,42,0)</f>
        <v>704.59</v>
      </c>
      <c r="AB38" s="259">
        <f t="shared" si="2"/>
        <v>11458.97</v>
      </c>
      <c r="AC38" s="235"/>
      <c r="AD38" s="235"/>
      <c r="AE38" s="235"/>
    </row>
    <row r="39" s="234" customFormat="1" ht="24" customHeight="1" spans="1:31">
      <c r="A39" s="238">
        <v>37</v>
      </c>
      <c r="B39" s="77" t="s">
        <v>152</v>
      </c>
      <c r="C39" s="41" t="s">
        <v>158</v>
      </c>
      <c r="D39" s="245">
        <v>45358</v>
      </c>
      <c r="E39" s="246">
        <v>17757108839</v>
      </c>
      <c r="F39" s="274" t="s">
        <v>159</v>
      </c>
      <c r="G39" s="274" t="s">
        <v>160</v>
      </c>
      <c r="H39" s="247" t="s">
        <v>161</v>
      </c>
      <c r="I39" s="261">
        <v>2500</v>
      </c>
      <c r="J39" s="261">
        <v>4000</v>
      </c>
      <c r="K39" s="261">
        <v>1000</v>
      </c>
      <c r="L39" s="261">
        <v>300</v>
      </c>
      <c r="M39" s="261"/>
      <c r="N39" s="261">
        <v>200</v>
      </c>
      <c r="O39" s="261"/>
      <c r="P39" s="247"/>
      <c r="Q39" s="247"/>
      <c r="R39" s="265">
        <v>3644.16</v>
      </c>
      <c r="S39" s="252"/>
      <c r="T39" s="247">
        <v>1500</v>
      </c>
      <c r="U39" s="252">
        <f>VLOOKUP(C39,考勤!C:Z,24,0)</f>
        <v>0</v>
      </c>
      <c r="V39" s="260">
        <f t="shared" si="0"/>
        <v>10144.16</v>
      </c>
      <c r="W39" s="238">
        <v>505.26</v>
      </c>
      <c r="X39" s="238">
        <v>0</v>
      </c>
      <c r="Y39" s="238"/>
      <c r="Z39" s="247"/>
      <c r="AA39" s="152">
        <f>VLOOKUP(C39,综合所得申报税款计算!B:AQ,42,0)</f>
        <v>139.16</v>
      </c>
      <c r="AB39" s="259">
        <f t="shared" si="2"/>
        <v>9499.74</v>
      </c>
      <c r="AC39" s="235"/>
      <c r="AD39" s="235"/>
      <c r="AE39" s="235"/>
    </row>
    <row r="40" s="235" customFormat="1" ht="25" customHeight="1" spans="1:28">
      <c r="A40" s="238">
        <v>38</v>
      </c>
      <c r="B40" s="77" t="s">
        <v>152</v>
      </c>
      <c r="C40" s="41" t="s">
        <v>162</v>
      </c>
      <c r="D40" s="245">
        <v>45474</v>
      </c>
      <c r="E40" s="77">
        <v>18106983123</v>
      </c>
      <c r="F40" s="273" t="s">
        <v>163</v>
      </c>
      <c r="G40" s="272" t="s">
        <v>164</v>
      </c>
      <c r="H40" s="77" t="s">
        <v>74</v>
      </c>
      <c r="I40" s="254">
        <v>3000</v>
      </c>
      <c r="J40" s="254">
        <v>7000</v>
      </c>
      <c r="K40" s="254">
        <v>8000</v>
      </c>
      <c r="L40" s="252">
        <v>500</v>
      </c>
      <c r="M40" s="252"/>
      <c r="N40" s="252">
        <v>1500</v>
      </c>
      <c r="O40" s="252"/>
      <c r="P40" s="254"/>
      <c r="Q40" s="254"/>
      <c r="R40" s="73"/>
      <c r="S40" s="252"/>
      <c r="T40" s="252"/>
      <c r="U40" s="252">
        <f>VLOOKUP(C40,考勤!C:Z,24,0)</f>
        <v>0</v>
      </c>
      <c r="V40" s="260">
        <f t="shared" si="0"/>
        <v>20000</v>
      </c>
      <c r="W40" s="238">
        <v>505.26</v>
      </c>
      <c r="X40" s="238">
        <v>0</v>
      </c>
      <c r="Y40" s="238"/>
      <c r="Z40" s="77"/>
      <c r="AA40" s="152">
        <f>VLOOKUP(C40,综合所得申报税款计算!B:AQ,42,0)</f>
        <v>999.47</v>
      </c>
      <c r="AB40" s="259">
        <f t="shared" si="2"/>
        <v>18495.27</v>
      </c>
    </row>
    <row r="41" s="235" customFormat="1" ht="25" customHeight="1" spans="1:28">
      <c r="A41" s="238">
        <v>39</v>
      </c>
      <c r="B41" s="77" t="s">
        <v>165</v>
      </c>
      <c r="C41" s="41" t="s">
        <v>166</v>
      </c>
      <c r="D41" s="251">
        <v>44984</v>
      </c>
      <c r="E41" s="77">
        <v>15356126485</v>
      </c>
      <c r="F41" s="272" t="s">
        <v>167</v>
      </c>
      <c r="G41" s="272" t="s">
        <v>168</v>
      </c>
      <c r="H41" s="77" t="s">
        <v>74</v>
      </c>
      <c r="I41" s="254">
        <v>2500</v>
      </c>
      <c r="J41" s="254">
        <v>1500</v>
      </c>
      <c r="K41" s="254">
        <v>1050</v>
      </c>
      <c r="L41" s="252">
        <v>300</v>
      </c>
      <c r="M41" s="252"/>
      <c r="N41" s="252">
        <v>200</v>
      </c>
      <c r="O41" s="252"/>
      <c r="P41" s="254">
        <v>50</v>
      </c>
      <c r="Q41" s="254">
        <f>IFERROR(VLOOKUP(C41,考勤!C:AC,27,0),0)</f>
        <v>0</v>
      </c>
      <c r="R41" s="73">
        <v>173.5</v>
      </c>
      <c r="S41" s="252"/>
      <c r="T41" s="252"/>
      <c r="U41" s="252">
        <f>VLOOKUP(C41,考勤!C:Z,24,0)</f>
        <v>0</v>
      </c>
      <c r="V41" s="260">
        <f t="shared" si="0"/>
        <v>5773.5</v>
      </c>
      <c r="W41" s="238">
        <v>505.26</v>
      </c>
      <c r="X41" s="238">
        <v>0</v>
      </c>
      <c r="Y41" s="238"/>
      <c r="Z41" s="77"/>
      <c r="AA41" s="152">
        <f>VLOOKUP(C41,综合所得申报税款计算!B:AQ,42,0)</f>
        <v>0</v>
      </c>
      <c r="AB41" s="259">
        <f t="shared" si="2"/>
        <v>5268.24</v>
      </c>
    </row>
    <row r="42" s="235" customFormat="1" ht="26" customHeight="1" spans="1:28">
      <c r="A42" s="238">
        <v>40</v>
      </c>
      <c r="B42" s="77" t="s">
        <v>165</v>
      </c>
      <c r="C42" s="252" t="s">
        <v>169</v>
      </c>
      <c r="D42" s="243">
        <v>45282</v>
      </c>
      <c r="E42" s="77">
        <v>15829704580</v>
      </c>
      <c r="F42" s="272" t="s">
        <v>170</v>
      </c>
      <c r="G42" s="252" t="s">
        <v>171</v>
      </c>
      <c r="H42" s="252" t="s">
        <v>74</v>
      </c>
      <c r="I42" s="252">
        <v>2500</v>
      </c>
      <c r="J42" s="252">
        <v>1500</v>
      </c>
      <c r="K42" s="254">
        <v>1020</v>
      </c>
      <c r="L42" s="252">
        <v>300</v>
      </c>
      <c r="M42" s="252"/>
      <c r="N42" s="252">
        <v>200</v>
      </c>
      <c r="O42" s="252"/>
      <c r="P42" s="252"/>
      <c r="Q42" s="254">
        <f>IFERROR(VLOOKUP(C42,考勤!C:AC,27,0),0)</f>
        <v>0</v>
      </c>
      <c r="R42" s="73">
        <v>194</v>
      </c>
      <c r="S42" s="252">
        <v>75</v>
      </c>
      <c r="T42" s="252"/>
      <c r="U42" s="252">
        <f>VLOOKUP(C42,考勤!C:Z,24,0)</f>
        <v>0</v>
      </c>
      <c r="V42" s="260">
        <f t="shared" si="0"/>
        <v>5789</v>
      </c>
      <c r="W42" s="238">
        <v>505.26</v>
      </c>
      <c r="X42" s="238">
        <v>0</v>
      </c>
      <c r="Y42" s="238"/>
      <c r="Z42" s="252"/>
      <c r="AA42" s="152">
        <f>VLOOKUP(C42,综合所得申报税款计算!B:AQ,42,0)</f>
        <v>0</v>
      </c>
      <c r="AB42" s="259">
        <f t="shared" si="2"/>
        <v>5283.74</v>
      </c>
    </row>
    <row r="43" s="235" customFormat="1" ht="26" customHeight="1" spans="1:28">
      <c r="A43" s="238">
        <v>41</v>
      </c>
      <c r="B43" s="77" t="s">
        <v>165</v>
      </c>
      <c r="C43" s="252" t="s">
        <v>172</v>
      </c>
      <c r="D43" s="243">
        <v>45282</v>
      </c>
      <c r="E43" s="77">
        <v>17805861830</v>
      </c>
      <c r="F43" s="272" t="s">
        <v>173</v>
      </c>
      <c r="G43" s="252" t="s">
        <v>174</v>
      </c>
      <c r="H43" s="252" t="s">
        <v>127</v>
      </c>
      <c r="I43" s="252">
        <v>2500</v>
      </c>
      <c r="J43" s="252">
        <v>1500</v>
      </c>
      <c r="K43" s="254">
        <v>1010</v>
      </c>
      <c r="L43" s="252">
        <v>300</v>
      </c>
      <c r="M43" s="252"/>
      <c r="N43" s="252">
        <v>200</v>
      </c>
      <c r="O43" s="252"/>
      <c r="P43" s="252"/>
      <c r="Q43" s="254">
        <f>IFERROR(VLOOKUP(C43,考勤!C:AC,27,0),0)</f>
        <v>0</v>
      </c>
      <c r="R43" s="73">
        <v>443</v>
      </c>
      <c r="S43" s="252">
        <v>930</v>
      </c>
      <c r="T43" s="252"/>
      <c r="U43" s="252">
        <f>VLOOKUP(C43,考勤!C:Z,24,0)</f>
        <v>104.166666666667</v>
      </c>
      <c r="V43" s="260">
        <f t="shared" si="0"/>
        <v>6778.83</v>
      </c>
      <c r="W43" s="238">
        <v>505.26</v>
      </c>
      <c r="X43" s="238">
        <v>0</v>
      </c>
      <c r="Y43" s="238"/>
      <c r="Z43" s="252"/>
      <c r="AA43" s="152">
        <f>VLOOKUP(C43,综合所得申报税款计算!B:AQ,42,0)</f>
        <v>38.2</v>
      </c>
      <c r="AB43" s="259">
        <f t="shared" si="2"/>
        <v>6235.37</v>
      </c>
    </row>
    <row r="44" s="234" customFormat="1" ht="29" customHeight="1" spans="1:31">
      <c r="A44" s="238">
        <v>42</v>
      </c>
      <c r="B44" s="77" t="s">
        <v>165</v>
      </c>
      <c r="C44" s="41" t="s">
        <v>175</v>
      </c>
      <c r="D44" s="243">
        <v>45351</v>
      </c>
      <c r="E44" s="77">
        <v>13037872089</v>
      </c>
      <c r="F44" s="272" t="s">
        <v>176</v>
      </c>
      <c r="G44" s="273" t="s">
        <v>177</v>
      </c>
      <c r="H44" s="77" t="s">
        <v>60</v>
      </c>
      <c r="I44" s="261">
        <v>2500</v>
      </c>
      <c r="J44" s="252">
        <v>1500</v>
      </c>
      <c r="K44" s="254">
        <v>1060</v>
      </c>
      <c r="L44" s="252">
        <v>300</v>
      </c>
      <c r="M44" s="252"/>
      <c r="N44" s="252">
        <v>200</v>
      </c>
      <c r="O44" s="77"/>
      <c r="P44" s="77"/>
      <c r="Q44" s="254"/>
      <c r="R44" s="73">
        <v>317</v>
      </c>
      <c r="S44" s="252">
        <v>125</v>
      </c>
      <c r="T44" s="252"/>
      <c r="U44" s="252">
        <f>VLOOKUP(C44,考勤!C:Z,24,0)</f>
        <v>130.208333333333</v>
      </c>
      <c r="V44" s="260">
        <f t="shared" si="0"/>
        <v>5871.79</v>
      </c>
      <c r="W44" s="238">
        <v>505.26</v>
      </c>
      <c r="X44" s="238">
        <v>0</v>
      </c>
      <c r="Y44" s="238"/>
      <c r="Z44" s="77"/>
      <c r="AA44" s="152">
        <f>VLOOKUP(C44,综合所得申报税款计算!B:AQ,42,0)</f>
        <v>0</v>
      </c>
      <c r="AB44" s="259">
        <f t="shared" si="2"/>
        <v>5366.53</v>
      </c>
      <c r="AC44" s="235"/>
      <c r="AD44" s="235"/>
      <c r="AE44" s="235"/>
    </row>
    <row r="45" s="234" customFormat="1" ht="24" customHeight="1" spans="1:31">
      <c r="A45" s="238">
        <v>43</v>
      </c>
      <c r="B45" s="77" t="s">
        <v>165</v>
      </c>
      <c r="C45" s="41" t="s">
        <v>178</v>
      </c>
      <c r="D45" s="245">
        <v>45356</v>
      </c>
      <c r="E45" s="246">
        <v>19916155250</v>
      </c>
      <c r="F45" s="274" t="s">
        <v>179</v>
      </c>
      <c r="G45" s="247" t="str">
        <f>VLOOKUP(C45,[4]银行卡信息!$B$1:$C$65536,2,0)</f>
        <v>6230910199171843242</v>
      </c>
      <c r="H45" s="247" t="str">
        <f>VLOOKUP(C45,[4]银行卡信息!$B$1:$D$65536,3,0)</f>
        <v>杭州联合银行(石祥支行)</v>
      </c>
      <c r="I45" s="261">
        <v>2500</v>
      </c>
      <c r="J45" s="261">
        <v>1500</v>
      </c>
      <c r="K45" s="254">
        <v>1110</v>
      </c>
      <c r="L45" s="261">
        <v>300</v>
      </c>
      <c r="M45" s="261"/>
      <c r="N45" s="261">
        <v>200</v>
      </c>
      <c r="O45" s="261"/>
      <c r="P45" s="247"/>
      <c r="Q45" s="247"/>
      <c r="R45" s="73">
        <v>307</v>
      </c>
      <c r="S45" s="252">
        <v>445</v>
      </c>
      <c r="T45" s="252"/>
      <c r="U45" s="252">
        <f>VLOOKUP(C45,考勤!C:Z,24,0)</f>
        <v>37.5</v>
      </c>
      <c r="V45" s="260">
        <f t="shared" si="0"/>
        <v>6324.5</v>
      </c>
      <c r="W45" s="238">
        <v>505.26</v>
      </c>
      <c r="X45" s="238">
        <v>0</v>
      </c>
      <c r="Y45" s="238"/>
      <c r="Z45" s="247"/>
      <c r="AA45" s="152">
        <f>VLOOKUP(C45,综合所得申报税款计算!B:AQ,42,0)</f>
        <v>0</v>
      </c>
      <c r="AB45" s="259">
        <f t="shared" si="2"/>
        <v>5819.24</v>
      </c>
      <c r="AC45" s="269"/>
      <c r="AD45" s="235"/>
      <c r="AE45" s="235"/>
    </row>
    <row r="46" s="234" customFormat="1" ht="24" customHeight="1" spans="1:31">
      <c r="A46" s="238">
        <v>44</v>
      </c>
      <c r="B46" s="77" t="s">
        <v>165</v>
      </c>
      <c r="C46" s="253" t="s">
        <v>180</v>
      </c>
      <c r="D46" s="245">
        <v>45418</v>
      </c>
      <c r="E46" s="246">
        <v>19881081740</v>
      </c>
      <c r="F46" s="274" t="s">
        <v>181</v>
      </c>
      <c r="G46" s="247" t="s">
        <v>182</v>
      </c>
      <c r="H46" s="247" t="s">
        <v>96</v>
      </c>
      <c r="I46" s="261">
        <v>3000</v>
      </c>
      <c r="J46" s="261">
        <v>1000</v>
      </c>
      <c r="K46" s="254">
        <v>1070</v>
      </c>
      <c r="L46" s="261">
        <v>300</v>
      </c>
      <c r="M46" s="261"/>
      <c r="N46" s="261">
        <v>200</v>
      </c>
      <c r="O46" s="261"/>
      <c r="P46" s="247"/>
      <c r="Q46" s="247"/>
      <c r="R46" s="73">
        <v>414</v>
      </c>
      <c r="S46" s="252">
        <v>535</v>
      </c>
      <c r="T46" s="267"/>
      <c r="U46" s="252">
        <f>VLOOKUP(C46,考勤!C:Z,24,0)</f>
        <v>208.333333333333</v>
      </c>
      <c r="V46" s="260">
        <f t="shared" si="0"/>
        <v>6310.67</v>
      </c>
      <c r="W46" s="238">
        <v>505.26</v>
      </c>
      <c r="X46" s="238">
        <v>0</v>
      </c>
      <c r="Y46" s="238"/>
      <c r="Z46" s="247"/>
      <c r="AA46" s="152">
        <f>VLOOKUP(C46,综合所得申报税款计算!B:AQ,42,0)</f>
        <v>0</v>
      </c>
      <c r="AB46" s="259">
        <f t="shared" si="2"/>
        <v>5805.41</v>
      </c>
      <c r="AC46" s="235"/>
      <c r="AD46" s="235"/>
      <c r="AE46" s="235"/>
    </row>
    <row r="47" s="234" customFormat="1" ht="24" customHeight="1" spans="1:31">
      <c r="A47" s="238">
        <v>45</v>
      </c>
      <c r="B47" s="77" t="s">
        <v>165</v>
      </c>
      <c r="C47" s="253" t="s">
        <v>183</v>
      </c>
      <c r="D47" s="245">
        <v>45425</v>
      </c>
      <c r="E47" s="246">
        <v>15372023258</v>
      </c>
      <c r="F47" s="247" t="s">
        <v>184</v>
      </c>
      <c r="G47" s="247" t="s">
        <v>185</v>
      </c>
      <c r="H47" s="247" t="s">
        <v>186</v>
      </c>
      <c r="I47" s="261">
        <v>3000</v>
      </c>
      <c r="J47" s="261">
        <v>4300</v>
      </c>
      <c r="K47" s="252">
        <f>2000*105%</f>
        <v>2100</v>
      </c>
      <c r="L47" s="261">
        <v>300</v>
      </c>
      <c r="M47" s="261"/>
      <c r="N47" s="261">
        <v>300</v>
      </c>
      <c r="O47" s="261">
        <v>100</v>
      </c>
      <c r="P47" s="247"/>
      <c r="Q47" s="247"/>
      <c r="R47" s="266"/>
      <c r="S47" s="247"/>
      <c r="T47" s="268"/>
      <c r="U47" s="252">
        <f>VLOOKUP(C47,考勤!C:Z,24,0)</f>
        <v>276.785714285714</v>
      </c>
      <c r="V47" s="260">
        <f t="shared" si="0"/>
        <v>9823.21</v>
      </c>
      <c r="W47" s="238">
        <v>505.26</v>
      </c>
      <c r="X47" s="238">
        <v>0</v>
      </c>
      <c r="Y47" s="238"/>
      <c r="Z47" s="247"/>
      <c r="AA47" s="152">
        <f>VLOOKUP(C47,综合所得申报税款计算!B:AQ,42,0)</f>
        <v>129.54</v>
      </c>
      <c r="AB47" s="259">
        <f t="shared" si="2"/>
        <v>9188.41</v>
      </c>
      <c r="AC47" s="235"/>
      <c r="AD47" s="235"/>
      <c r="AE47" s="235"/>
    </row>
    <row r="48" s="234" customFormat="1" ht="24" customHeight="1" spans="1:31">
      <c r="A48" s="238"/>
      <c r="B48" s="77" t="s">
        <v>187</v>
      </c>
      <c r="C48" s="77"/>
      <c r="D48" s="77"/>
      <c r="E48" s="77"/>
      <c r="F48" s="77"/>
      <c r="G48" s="77"/>
      <c r="H48" s="77"/>
      <c r="I48" s="261">
        <f>SUM(I4:I47)</f>
        <v>118900</v>
      </c>
      <c r="J48" s="261">
        <f t="shared" ref="J48:AB48" si="3">SUM(J4:J47)</f>
        <v>117015</v>
      </c>
      <c r="K48" s="261">
        <f t="shared" si="3"/>
        <v>70420</v>
      </c>
      <c r="L48" s="261">
        <f t="shared" si="3"/>
        <v>15100</v>
      </c>
      <c r="M48" s="261">
        <f t="shared" si="3"/>
        <v>5000</v>
      </c>
      <c r="N48" s="261">
        <f t="shared" si="3"/>
        <v>9900</v>
      </c>
      <c r="O48" s="261">
        <f t="shared" si="3"/>
        <v>400</v>
      </c>
      <c r="P48" s="261">
        <f t="shared" si="3"/>
        <v>1850</v>
      </c>
      <c r="Q48" s="261">
        <f t="shared" si="3"/>
        <v>0</v>
      </c>
      <c r="R48" s="261">
        <f t="shared" si="3"/>
        <v>21119.5412166667</v>
      </c>
      <c r="S48" s="261">
        <f t="shared" si="3"/>
        <v>5157.61904761905</v>
      </c>
      <c r="T48" s="261">
        <f t="shared" si="3"/>
        <v>2825</v>
      </c>
      <c r="U48" s="261">
        <f t="shared" si="3"/>
        <v>10358.5508241758</v>
      </c>
      <c r="V48" s="261">
        <f t="shared" si="3"/>
        <v>351678.61</v>
      </c>
      <c r="W48" s="261">
        <f t="shared" si="3"/>
        <v>19705.14</v>
      </c>
      <c r="X48" s="261">
        <f t="shared" si="3"/>
        <v>0</v>
      </c>
      <c r="Y48" s="261">
        <f t="shared" si="3"/>
        <v>8664</v>
      </c>
      <c r="Z48" s="261">
        <f t="shared" si="3"/>
        <v>449</v>
      </c>
      <c r="AA48" s="261">
        <f t="shared" si="3"/>
        <v>6672.84</v>
      </c>
      <c r="AB48" s="261">
        <f t="shared" si="3"/>
        <v>316187.63</v>
      </c>
      <c r="AC48" s="235"/>
      <c r="AD48" s="235"/>
      <c r="AE48" s="235"/>
    </row>
    <row r="49" s="235" customFormat="1" ht="28" customHeight="1" spans="1:28">
      <c r="A49" s="238">
        <v>46</v>
      </c>
      <c r="B49" s="77" t="s">
        <v>188</v>
      </c>
      <c r="C49" s="41" t="s">
        <v>189</v>
      </c>
      <c r="D49" s="251">
        <v>42226</v>
      </c>
      <c r="E49" s="77">
        <v>15325812580</v>
      </c>
      <c r="F49" s="272" t="s">
        <v>190</v>
      </c>
      <c r="G49" s="272" t="s">
        <v>191</v>
      </c>
      <c r="H49" s="254" t="s">
        <v>46</v>
      </c>
      <c r="I49" s="254">
        <v>2500</v>
      </c>
      <c r="J49" s="254">
        <v>1500</v>
      </c>
      <c r="K49" s="254">
        <v>4600</v>
      </c>
      <c r="L49" s="254"/>
      <c r="M49" s="254">
        <v>1000</v>
      </c>
      <c r="N49" s="254"/>
      <c r="O49" s="254"/>
      <c r="P49" s="254">
        <v>450</v>
      </c>
      <c r="Q49" s="254">
        <f>IFERROR(VLOOKUP(C49,考勤!C:AC,27,0),0)</f>
        <v>0</v>
      </c>
      <c r="R49" s="265"/>
      <c r="S49" s="252"/>
      <c r="T49" s="252">
        <v>150</v>
      </c>
      <c r="U49" s="252">
        <f>VLOOKUP(C49,考勤!C:Z,24,0)</f>
        <v>204.761904761905</v>
      </c>
      <c r="V49" s="252">
        <f>ROUND(SUM(I49:S49)-T49-U49,2)</f>
        <v>9695.24</v>
      </c>
      <c r="W49" s="238">
        <v>505.26</v>
      </c>
      <c r="X49" s="238">
        <v>330.75</v>
      </c>
      <c r="Y49" s="238">
        <v>480</v>
      </c>
      <c r="Z49" s="77">
        <v>50</v>
      </c>
      <c r="AA49" s="152">
        <f>VLOOKUP(C49,综合所得申报税款计算!B:AQ,42,0)</f>
        <v>111.3</v>
      </c>
      <c r="AB49" s="259">
        <f t="shared" si="2"/>
        <v>8217.93</v>
      </c>
    </row>
    <row r="50" s="235" customFormat="1" ht="28" customHeight="1" spans="1:28">
      <c r="A50" s="238">
        <v>47</v>
      </c>
      <c r="B50" s="77" t="s">
        <v>188</v>
      </c>
      <c r="C50" s="41" t="s">
        <v>192</v>
      </c>
      <c r="D50" s="245">
        <v>45447</v>
      </c>
      <c r="E50" s="77">
        <v>15168450408</v>
      </c>
      <c r="F50" s="273" t="s">
        <v>193</v>
      </c>
      <c r="G50" s="273" t="s">
        <v>194</v>
      </c>
      <c r="H50" s="254" t="s">
        <v>195</v>
      </c>
      <c r="I50" s="261">
        <v>2500</v>
      </c>
      <c r="J50" s="261">
        <v>3300</v>
      </c>
      <c r="K50" s="261">
        <f>2200*0.9</f>
        <v>1980</v>
      </c>
      <c r="L50" s="261">
        <v>300</v>
      </c>
      <c r="M50" s="261"/>
      <c r="N50" s="261">
        <v>200</v>
      </c>
      <c r="O50" s="254"/>
      <c r="P50" s="254"/>
      <c r="Q50" s="254"/>
      <c r="R50" s="265"/>
      <c r="S50" s="252"/>
      <c r="T50" s="252"/>
      <c r="U50" s="252">
        <f>VLOOKUP(C50,考勤!C:Z,24,0)</f>
        <v>0</v>
      </c>
      <c r="V50" s="252">
        <f t="shared" ref="V50:V58" si="4">ROUND(SUM(I50:S50)-T50-U50,2)</f>
        <v>8280</v>
      </c>
      <c r="W50" s="238">
        <v>505.26</v>
      </c>
      <c r="X50" s="238">
        <v>147</v>
      </c>
      <c r="Y50" s="238"/>
      <c r="Z50" s="77"/>
      <c r="AA50" s="152">
        <f>VLOOKUP(C50,综合所得申报税款计算!B:AQ,42,0)</f>
        <v>83.24</v>
      </c>
      <c r="AB50" s="259">
        <f t="shared" ref="AB50:AB58" si="5">ROUND(V50-SUM(W50:AA50),2)</f>
        <v>7544.5</v>
      </c>
    </row>
    <row r="51" s="235" customFormat="1" ht="28" customHeight="1" spans="1:28">
      <c r="A51" s="238">
        <v>48</v>
      </c>
      <c r="B51" s="77" t="s">
        <v>188</v>
      </c>
      <c r="C51" s="41" t="s">
        <v>196</v>
      </c>
      <c r="D51" s="251">
        <v>45108</v>
      </c>
      <c r="E51" s="77">
        <v>19972968261</v>
      </c>
      <c r="F51" s="272" t="s">
        <v>197</v>
      </c>
      <c r="G51" s="272" t="s">
        <v>198</v>
      </c>
      <c r="H51" s="77" t="s">
        <v>56</v>
      </c>
      <c r="I51" s="254">
        <v>2500</v>
      </c>
      <c r="J51" s="254">
        <v>1200</v>
      </c>
      <c r="K51" s="254">
        <v>800</v>
      </c>
      <c r="L51" s="252">
        <v>300</v>
      </c>
      <c r="M51" s="252"/>
      <c r="N51" s="252">
        <v>200</v>
      </c>
      <c r="O51" s="252"/>
      <c r="P51" s="254">
        <v>50</v>
      </c>
      <c r="Q51" s="254">
        <f>IFERROR(VLOOKUP(C51,考勤!C:AC,27,0),0)</f>
        <v>0</v>
      </c>
      <c r="R51" s="265"/>
      <c r="S51" s="252"/>
      <c r="T51" s="252"/>
      <c r="U51" s="252">
        <f>VLOOKUP(C51,考勤!C:Z,24,0)</f>
        <v>0</v>
      </c>
      <c r="V51" s="252">
        <f t="shared" si="4"/>
        <v>5050</v>
      </c>
      <c r="W51" s="238">
        <v>505.26</v>
      </c>
      <c r="X51" s="238">
        <v>330.75</v>
      </c>
      <c r="Y51" s="238"/>
      <c r="Z51" s="77"/>
      <c r="AA51" s="152">
        <f>VLOOKUP(C51,综合所得申报税款计算!B:AQ,42,0)</f>
        <v>0</v>
      </c>
      <c r="AB51" s="259">
        <f t="shared" si="5"/>
        <v>4213.99</v>
      </c>
    </row>
    <row r="52" s="233" customFormat="1" ht="24" customHeight="1" spans="1:28">
      <c r="A52" s="238">
        <v>49</v>
      </c>
      <c r="B52" s="77" t="s">
        <v>188</v>
      </c>
      <c r="C52" s="255" t="s">
        <v>199</v>
      </c>
      <c r="D52" s="251">
        <v>45530</v>
      </c>
      <c r="E52" s="238">
        <v>18569908160</v>
      </c>
      <c r="F52" s="271" t="s">
        <v>200</v>
      </c>
      <c r="G52" s="271" t="s">
        <v>201</v>
      </c>
      <c r="H52" s="77" t="s">
        <v>60</v>
      </c>
      <c r="I52" s="254">
        <v>3000</v>
      </c>
      <c r="J52" s="254">
        <v>200</v>
      </c>
      <c r="K52" s="260">
        <v>1000</v>
      </c>
      <c r="L52" s="260">
        <v>200</v>
      </c>
      <c r="M52" s="238"/>
      <c r="N52" s="260">
        <v>100</v>
      </c>
      <c r="O52" s="238"/>
      <c r="P52" s="238"/>
      <c r="Q52" s="254"/>
      <c r="R52" s="257"/>
      <c r="S52" s="265">
        <v>205</v>
      </c>
      <c r="T52" s="252"/>
      <c r="U52" s="252">
        <f>VLOOKUP(C52,考勤!C:Z,24,0)</f>
        <v>2812.5</v>
      </c>
      <c r="V52" s="252">
        <f t="shared" si="4"/>
        <v>1892.5</v>
      </c>
      <c r="W52" s="238">
        <v>0</v>
      </c>
      <c r="X52" s="238">
        <v>36.75</v>
      </c>
      <c r="Y52" s="238"/>
      <c r="Z52" s="238">
        <v>25</v>
      </c>
      <c r="AA52" s="152">
        <f>VLOOKUP(C52,综合所得申报税款计算!B:AQ,42,0)</f>
        <v>0</v>
      </c>
      <c r="AB52" s="259">
        <f t="shared" si="5"/>
        <v>1830.75</v>
      </c>
    </row>
    <row r="53" s="233" customFormat="1" ht="24" customHeight="1" spans="1:28">
      <c r="A53" s="238">
        <v>50</v>
      </c>
      <c r="B53" s="77" t="s">
        <v>188</v>
      </c>
      <c r="C53" s="77" t="s">
        <v>202</v>
      </c>
      <c r="D53" s="251">
        <v>45478</v>
      </c>
      <c r="E53" s="238">
        <v>15738603236</v>
      </c>
      <c r="F53" s="271" t="s">
        <v>203</v>
      </c>
      <c r="G53" s="271" t="s">
        <v>204</v>
      </c>
      <c r="H53" s="77" t="s">
        <v>60</v>
      </c>
      <c r="I53" s="254">
        <v>3000</v>
      </c>
      <c r="J53" s="254">
        <f>700</f>
        <v>700</v>
      </c>
      <c r="K53" s="260">
        <v>940</v>
      </c>
      <c r="L53" s="260">
        <v>200</v>
      </c>
      <c r="M53" s="238"/>
      <c r="N53" s="260">
        <v>100</v>
      </c>
      <c r="O53" s="238"/>
      <c r="P53" s="238"/>
      <c r="Q53" s="254"/>
      <c r="R53" s="257"/>
      <c r="S53" s="265">
        <v>440</v>
      </c>
      <c r="T53" s="252"/>
      <c r="U53" s="252">
        <f>VLOOKUP(C53,考勤!C:Z,24,0)</f>
        <v>0</v>
      </c>
      <c r="V53" s="252">
        <f t="shared" si="4"/>
        <v>5380</v>
      </c>
      <c r="W53" s="238">
        <v>505.26</v>
      </c>
      <c r="X53" s="238">
        <v>110.25</v>
      </c>
      <c r="Y53" s="238"/>
      <c r="Z53" s="238">
        <v>50</v>
      </c>
      <c r="AA53" s="152">
        <f>VLOOKUP(C53,综合所得申报税款计算!B:AQ,42,0)</f>
        <v>0</v>
      </c>
      <c r="AB53" s="259">
        <f t="shared" si="5"/>
        <v>4714.49</v>
      </c>
    </row>
    <row r="54" s="233" customFormat="1" ht="24" customHeight="1" spans="1:28">
      <c r="A54" s="238">
        <v>51</v>
      </c>
      <c r="B54" s="77" t="s">
        <v>188</v>
      </c>
      <c r="C54" s="77" t="s">
        <v>205</v>
      </c>
      <c r="D54" s="251">
        <v>45484</v>
      </c>
      <c r="E54" s="256">
        <v>19026422130</v>
      </c>
      <c r="F54" s="271" t="s">
        <v>206</v>
      </c>
      <c r="G54" s="270" t="s">
        <v>207</v>
      </c>
      <c r="H54" s="238" t="s">
        <v>208</v>
      </c>
      <c r="I54" s="254">
        <v>3000</v>
      </c>
      <c r="J54" s="254">
        <v>700</v>
      </c>
      <c r="K54" s="260">
        <v>950</v>
      </c>
      <c r="L54" s="260">
        <v>200</v>
      </c>
      <c r="M54" s="238"/>
      <c r="N54" s="260">
        <v>100</v>
      </c>
      <c r="O54" s="238"/>
      <c r="P54" s="238"/>
      <c r="Q54" s="254"/>
      <c r="R54" s="257"/>
      <c r="S54" s="265">
        <v>690</v>
      </c>
      <c r="T54" s="252"/>
      <c r="U54" s="252">
        <f>VLOOKUP(C54,考勤!C:Z,24,0)</f>
        <v>0</v>
      </c>
      <c r="V54" s="252">
        <f t="shared" si="4"/>
        <v>5640</v>
      </c>
      <c r="W54" s="238">
        <v>505.26</v>
      </c>
      <c r="X54" s="238">
        <v>110.25</v>
      </c>
      <c r="Y54" s="238"/>
      <c r="Z54" s="238">
        <v>25</v>
      </c>
      <c r="AA54" s="152">
        <f>VLOOKUP(C54,综合所得申报税款计算!B:AQ,42,0)</f>
        <v>0</v>
      </c>
      <c r="AB54" s="259">
        <f t="shared" si="5"/>
        <v>4999.49</v>
      </c>
    </row>
    <row r="55" s="235" customFormat="1" ht="28" customHeight="1" spans="1:28">
      <c r="A55" s="238">
        <v>52</v>
      </c>
      <c r="B55" s="77" t="s">
        <v>188</v>
      </c>
      <c r="C55" s="41" t="s">
        <v>209</v>
      </c>
      <c r="D55" s="251">
        <v>43993</v>
      </c>
      <c r="E55" s="77">
        <v>18806280707</v>
      </c>
      <c r="F55" s="272" t="s">
        <v>210</v>
      </c>
      <c r="G55" s="272" t="s">
        <v>211</v>
      </c>
      <c r="H55" s="254" t="s">
        <v>74</v>
      </c>
      <c r="I55" s="254">
        <v>2500</v>
      </c>
      <c r="J55" s="254">
        <v>2825</v>
      </c>
      <c r="K55" s="254">
        <v>1200</v>
      </c>
      <c r="L55" s="252">
        <v>300</v>
      </c>
      <c r="M55" s="252">
        <v>1000</v>
      </c>
      <c r="N55" s="252">
        <v>200</v>
      </c>
      <c r="O55" s="252"/>
      <c r="P55" s="254">
        <v>200</v>
      </c>
      <c r="Q55" s="254">
        <f>IFERROR(VLOOKUP(C55,考勤!C:AC,27,0),0)</f>
        <v>0</v>
      </c>
      <c r="R55" s="247"/>
      <c r="S55" s="265"/>
      <c r="T55" s="252"/>
      <c r="U55" s="252">
        <f>VLOOKUP(C55,考勤!C:Z,24,0)</f>
        <v>0</v>
      </c>
      <c r="V55" s="252">
        <f t="shared" si="4"/>
        <v>8225</v>
      </c>
      <c r="W55" s="238">
        <v>505.26</v>
      </c>
      <c r="X55" s="238">
        <v>330.75</v>
      </c>
      <c r="Y55" s="238">
        <v>299</v>
      </c>
      <c r="Z55" s="77"/>
      <c r="AA55" s="152">
        <f>VLOOKUP(C55,综合所得申报税款计算!B:AQ,42,0)</f>
        <v>72.63</v>
      </c>
      <c r="AB55" s="259">
        <f t="shared" si="5"/>
        <v>7017.36</v>
      </c>
    </row>
    <row r="56" s="235" customFormat="1" ht="28" customHeight="1" spans="1:28">
      <c r="A56" s="238">
        <v>53</v>
      </c>
      <c r="B56" s="77" t="s">
        <v>188</v>
      </c>
      <c r="C56" s="41" t="s">
        <v>212</v>
      </c>
      <c r="D56" s="251">
        <v>44571</v>
      </c>
      <c r="E56" s="246">
        <v>17816051507</v>
      </c>
      <c r="F56" s="246" t="s">
        <v>213</v>
      </c>
      <c r="G56" s="272" t="s">
        <v>214</v>
      </c>
      <c r="H56" s="254" t="s">
        <v>56</v>
      </c>
      <c r="I56" s="254">
        <v>2500</v>
      </c>
      <c r="J56" s="254">
        <v>300</v>
      </c>
      <c r="K56" s="254">
        <v>500</v>
      </c>
      <c r="L56" s="252">
        <v>300</v>
      </c>
      <c r="M56" s="252">
        <v>1000</v>
      </c>
      <c r="N56" s="252">
        <v>200</v>
      </c>
      <c r="O56" s="252"/>
      <c r="P56" s="254">
        <v>100</v>
      </c>
      <c r="Q56" s="254">
        <v>0</v>
      </c>
      <c r="R56" s="247"/>
      <c r="S56" s="265"/>
      <c r="T56" s="252">
        <v>10</v>
      </c>
      <c r="U56" s="252">
        <f>VLOOKUP(C56,考勤!C:Z,24,0)</f>
        <v>0</v>
      </c>
      <c r="V56" s="252">
        <f t="shared" si="4"/>
        <v>4890</v>
      </c>
      <c r="W56" s="238">
        <v>505.26</v>
      </c>
      <c r="X56" s="238">
        <v>330.75</v>
      </c>
      <c r="Y56" s="238"/>
      <c r="Z56" s="77"/>
      <c r="AA56" s="152">
        <f>VLOOKUP(C56,综合所得申报税款计算!B:AQ,42,0)</f>
        <v>0</v>
      </c>
      <c r="AB56" s="259">
        <f t="shared" si="5"/>
        <v>4053.99</v>
      </c>
    </row>
    <row r="57" s="235" customFormat="1" ht="28" customHeight="1" spans="1:28">
      <c r="A57" s="238">
        <v>54</v>
      </c>
      <c r="B57" s="77" t="s">
        <v>188</v>
      </c>
      <c r="C57" s="41" t="s">
        <v>215</v>
      </c>
      <c r="D57" s="250">
        <v>45208</v>
      </c>
      <c r="E57" s="77">
        <v>13117622158</v>
      </c>
      <c r="F57" s="272" t="s">
        <v>216</v>
      </c>
      <c r="G57" s="244" t="s">
        <v>217</v>
      </c>
      <c r="H57" s="77" t="s">
        <v>218</v>
      </c>
      <c r="I57" s="254">
        <v>2500</v>
      </c>
      <c r="J57" s="254">
        <v>1800</v>
      </c>
      <c r="K57" s="254">
        <v>920</v>
      </c>
      <c r="L57" s="252">
        <v>200</v>
      </c>
      <c r="M57" s="252"/>
      <c r="N57" s="252">
        <v>300</v>
      </c>
      <c r="O57" s="252"/>
      <c r="P57" s="254">
        <v>50</v>
      </c>
      <c r="Q57" s="254">
        <f>IFERROR(VLOOKUP(C57,考勤!C:AC,27,0),0)</f>
        <v>0</v>
      </c>
      <c r="R57" s="247"/>
      <c r="S57" s="265">
        <v>390</v>
      </c>
      <c r="T57" s="252"/>
      <c r="U57" s="252">
        <f>VLOOKUP(C57,考勤!C:Z,24,0)</f>
        <v>0</v>
      </c>
      <c r="V57" s="252">
        <f t="shared" si="4"/>
        <v>6160</v>
      </c>
      <c r="W57" s="238">
        <v>505.26</v>
      </c>
      <c r="X57" s="238">
        <v>330.75</v>
      </c>
      <c r="Y57" s="238"/>
      <c r="Z57" s="77">
        <v>50</v>
      </c>
      <c r="AA57" s="152">
        <f>VLOOKUP(C57,综合所得申报税款计算!B:AQ,42,0)</f>
        <v>0</v>
      </c>
      <c r="AB57" s="259">
        <f t="shared" si="5"/>
        <v>5273.99</v>
      </c>
    </row>
    <row r="58" s="209" customFormat="1" ht="25" customHeight="1" spans="1:31">
      <c r="A58" s="238">
        <v>55</v>
      </c>
      <c r="B58" s="77" t="s">
        <v>188</v>
      </c>
      <c r="C58" s="41" t="s">
        <v>219</v>
      </c>
      <c r="D58" s="251">
        <v>44866</v>
      </c>
      <c r="E58" s="77">
        <v>13567162403</v>
      </c>
      <c r="F58" s="272" t="s">
        <v>220</v>
      </c>
      <c r="G58" s="272" t="s">
        <v>221</v>
      </c>
      <c r="H58" s="254" t="s">
        <v>56</v>
      </c>
      <c r="I58" s="254">
        <v>2500</v>
      </c>
      <c r="J58" s="254">
        <v>9700</v>
      </c>
      <c r="K58" s="254">
        <v>2000</v>
      </c>
      <c r="L58" s="252">
        <v>500</v>
      </c>
      <c r="M58" s="254"/>
      <c r="N58" s="254">
        <v>200</v>
      </c>
      <c r="O58" s="254">
        <v>100</v>
      </c>
      <c r="P58" s="254">
        <v>50</v>
      </c>
      <c r="Q58" s="254">
        <f>IFERROR(VLOOKUP(C58,考勤!C:AC,27,0),0)</f>
        <v>0</v>
      </c>
      <c r="R58" s="265"/>
      <c r="S58" s="254"/>
      <c r="T58" s="254"/>
      <c r="U58" s="252">
        <v>0</v>
      </c>
      <c r="V58" s="252">
        <f t="shared" si="4"/>
        <v>15050</v>
      </c>
      <c r="W58" s="238">
        <v>505.26</v>
      </c>
      <c r="X58" s="238">
        <v>330.75</v>
      </c>
      <c r="Y58" s="238">
        <v>2400</v>
      </c>
      <c r="Z58" s="77"/>
      <c r="AA58" s="152">
        <f>VLOOKUP(C58,综合所得申报税款计算!B:AQ,42,0)</f>
        <v>664.47</v>
      </c>
      <c r="AB58" s="259">
        <f t="shared" si="5"/>
        <v>11149.52</v>
      </c>
      <c r="AC58" s="235"/>
      <c r="AD58" s="235"/>
      <c r="AE58" s="235"/>
    </row>
    <row r="59" s="209" customFormat="1" ht="25" customHeight="1" spans="1:31">
      <c r="A59" s="238"/>
      <c r="B59" s="77" t="s">
        <v>187</v>
      </c>
      <c r="C59" s="77"/>
      <c r="D59" s="77"/>
      <c r="E59" s="77"/>
      <c r="F59" s="77"/>
      <c r="G59" s="77"/>
      <c r="H59" s="77"/>
      <c r="I59" s="254">
        <f>SUM(I49:I58)</f>
        <v>26500</v>
      </c>
      <c r="J59" s="254">
        <f t="shared" ref="J59:AB59" si="6">SUM(J49:J58)</f>
        <v>22225</v>
      </c>
      <c r="K59" s="254">
        <f t="shared" si="6"/>
        <v>14890</v>
      </c>
      <c r="L59" s="254">
        <f t="shared" si="6"/>
        <v>2500</v>
      </c>
      <c r="M59" s="254">
        <f t="shared" si="6"/>
        <v>3000</v>
      </c>
      <c r="N59" s="254">
        <f t="shared" si="6"/>
        <v>1600</v>
      </c>
      <c r="O59" s="254">
        <f t="shared" si="6"/>
        <v>100</v>
      </c>
      <c r="P59" s="254">
        <f t="shared" si="6"/>
        <v>900</v>
      </c>
      <c r="Q59" s="254">
        <f t="shared" si="6"/>
        <v>0</v>
      </c>
      <c r="R59" s="254">
        <f t="shared" si="6"/>
        <v>0</v>
      </c>
      <c r="S59" s="254">
        <f t="shared" si="6"/>
        <v>1725</v>
      </c>
      <c r="T59" s="254">
        <f t="shared" si="6"/>
        <v>160</v>
      </c>
      <c r="U59" s="254">
        <f t="shared" si="6"/>
        <v>3017.26190476191</v>
      </c>
      <c r="V59" s="254">
        <f t="shared" si="6"/>
        <v>70262.74</v>
      </c>
      <c r="W59" s="254">
        <f t="shared" si="6"/>
        <v>4547.34</v>
      </c>
      <c r="X59" s="254">
        <f t="shared" si="6"/>
        <v>2388.75</v>
      </c>
      <c r="Y59" s="254">
        <f t="shared" si="6"/>
        <v>3179</v>
      </c>
      <c r="Z59" s="254">
        <f t="shared" si="6"/>
        <v>200</v>
      </c>
      <c r="AA59" s="254">
        <f t="shared" si="6"/>
        <v>931.64</v>
      </c>
      <c r="AB59" s="254">
        <f t="shared" si="6"/>
        <v>59016.01</v>
      </c>
      <c r="AC59" s="235"/>
      <c r="AD59" s="235"/>
      <c r="AE59" s="235"/>
    </row>
    <row r="60" s="151" customFormat="1" ht="29" customHeight="1" spans="1:31">
      <c r="A60" s="238"/>
      <c r="B60" s="257" t="s">
        <v>222</v>
      </c>
      <c r="C60" s="257"/>
      <c r="D60" s="257"/>
      <c r="E60" s="257"/>
      <c r="F60" s="257"/>
      <c r="G60" s="257"/>
      <c r="H60" s="257"/>
      <c r="I60" s="262">
        <f>I48+I59</f>
        <v>145400</v>
      </c>
      <c r="J60" s="262">
        <f t="shared" ref="J60:AB60" si="7">J48+J59</f>
        <v>139240</v>
      </c>
      <c r="K60" s="262">
        <f t="shared" si="7"/>
        <v>85310</v>
      </c>
      <c r="L60" s="262">
        <f t="shared" si="7"/>
        <v>17600</v>
      </c>
      <c r="M60" s="262">
        <f t="shared" si="7"/>
        <v>8000</v>
      </c>
      <c r="N60" s="262">
        <f t="shared" si="7"/>
        <v>11500</v>
      </c>
      <c r="O60" s="262">
        <f t="shared" si="7"/>
        <v>500</v>
      </c>
      <c r="P60" s="262">
        <f t="shared" si="7"/>
        <v>2750</v>
      </c>
      <c r="Q60" s="262">
        <f t="shared" si="7"/>
        <v>0</v>
      </c>
      <c r="R60" s="262">
        <f t="shared" si="7"/>
        <v>21119.5412166667</v>
      </c>
      <c r="S60" s="262">
        <f t="shared" si="7"/>
        <v>6882.61904761905</v>
      </c>
      <c r="T60" s="262">
        <f t="shared" si="7"/>
        <v>2985</v>
      </c>
      <c r="U60" s="262">
        <f t="shared" si="7"/>
        <v>13375.8127289377</v>
      </c>
      <c r="V60" s="262">
        <f t="shared" si="7"/>
        <v>421941.35</v>
      </c>
      <c r="W60" s="262">
        <f t="shared" si="7"/>
        <v>24252.48</v>
      </c>
      <c r="X60" s="262">
        <f t="shared" si="7"/>
        <v>2388.75</v>
      </c>
      <c r="Y60" s="262">
        <f t="shared" si="7"/>
        <v>11843</v>
      </c>
      <c r="Z60" s="262">
        <f t="shared" si="7"/>
        <v>649</v>
      </c>
      <c r="AA60" s="262">
        <f t="shared" si="7"/>
        <v>7604.48</v>
      </c>
      <c r="AB60" s="262">
        <f t="shared" si="7"/>
        <v>375203.64</v>
      </c>
      <c r="AC60" s="233"/>
      <c r="AD60" s="233"/>
      <c r="AE60" s="233"/>
    </row>
    <row r="62" ht="20" customHeight="1" spans="4:4">
      <c r="D62" s="258"/>
    </row>
    <row r="63" ht="20" customHeight="1"/>
    <row r="64" ht="20" customHeight="1"/>
    <row r="65" ht="20" customHeight="1"/>
  </sheetData>
  <autoFilter xmlns:etc="http://www.wps.cn/officeDocument/2017/etCustomData" ref="A1:AC60" etc:filterBottomFollowUsedRange="0">
    <extLst/>
  </autoFilter>
  <mergeCells count="4">
    <mergeCell ref="C2:AB2"/>
    <mergeCell ref="B48:H48"/>
    <mergeCell ref="B59:H59"/>
    <mergeCell ref="B60:H60"/>
  </mergeCells>
  <dataValidations count="1">
    <dataValidation allowBlank="1" showInputMessage="1" showErrorMessage="1" sqref="C4:D4 D41 D49 D5:D9 D12:D14 D17:D18 D51:D55 D58:F59 E4:F7"/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99"/>
  <sheetViews>
    <sheetView topLeftCell="Q1" workbookViewId="0">
      <selection activeCell="AK11" sqref="AK11:AK13"/>
    </sheetView>
  </sheetViews>
  <sheetFormatPr defaultColWidth="9" defaultRowHeight="15.75"/>
  <cols>
    <col min="1" max="1" width="8.14166666666667" customWidth="1"/>
    <col min="2" max="2" width="9.125" customWidth="1"/>
    <col min="3" max="3" width="20.8166666666667" customWidth="1"/>
    <col min="4" max="4" width="14.75" customWidth="1"/>
    <col min="5" max="5" width="14.25" customWidth="1"/>
    <col min="6" max="7" width="13.625" customWidth="1"/>
    <col min="8" max="8" width="10.625" customWidth="1"/>
    <col min="9" max="9" width="18.125" customWidth="1"/>
    <col min="10" max="10" width="14" customWidth="1"/>
    <col min="11" max="11" width="11.125" customWidth="1"/>
    <col min="12" max="12" width="15.375" customWidth="1"/>
    <col min="13" max="13" width="14.625" customWidth="1"/>
    <col min="14" max="14" width="13" customWidth="1"/>
    <col min="15" max="15" width="6.30833333333333" customWidth="1"/>
    <col min="16" max="16" width="7.68333333333333" customWidth="1"/>
    <col min="17" max="17" width="14.625" customWidth="1"/>
    <col min="18" max="30" width="10" customWidth="1"/>
    <col min="31" max="31" width="15.375" customWidth="1"/>
    <col min="32" max="33" width="6.30833333333333" style="131" customWidth="1"/>
    <col min="34" max="34" width="9.40833333333333" customWidth="1"/>
    <col min="35" max="36" width="8.125" customWidth="1"/>
    <col min="37" max="37" width="8.125" style="132" customWidth="1"/>
    <col min="38" max="38" width="5.38333333333333" style="132" customWidth="1"/>
    <col min="39" max="40" width="6.69166666666667" customWidth="1"/>
    <col min="41" max="41" width="6.45833333333333" style="132" customWidth="1"/>
  </cols>
  <sheetData>
    <row r="1" customFormat="1" spans="1:36">
      <c r="A1" s="133" t="s">
        <v>4</v>
      </c>
      <c r="B1" s="134" t="s">
        <v>223</v>
      </c>
      <c r="C1" s="134" t="s">
        <v>224</v>
      </c>
      <c r="D1" s="134" t="s">
        <v>225</v>
      </c>
      <c r="E1" s="134" t="s">
        <v>226</v>
      </c>
      <c r="F1" s="134" t="s">
        <v>227</v>
      </c>
      <c r="G1" s="134" t="s">
        <v>228</v>
      </c>
      <c r="H1" s="134" t="s">
        <v>229</v>
      </c>
      <c r="I1" s="134" t="s">
        <v>230</v>
      </c>
      <c r="J1" s="134" t="s">
        <v>231</v>
      </c>
      <c r="K1" s="134" t="s">
        <v>232</v>
      </c>
      <c r="L1" s="134" t="s">
        <v>233</v>
      </c>
      <c r="M1" s="134" t="s">
        <v>234</v>
      </c>
      <c r="N1" s="134" t="s">
        <v>235</v>
      </c>
      <c r="O1" s="134" t="s">
        <v>236</v>
      </c>
      <c r="P1" s="134" t="s">
        <v>237</v>
      </c>
      <c r="Q1" s="134" t="s">
        <v>238</v>
      </c>
      <c r="R1" s="134" t="s">
        <v>239</v>
      </c>
      <c r="S1" s="134" t="s">
        <v>240</v>
      </c>
      <c r="T1" s="134" t="s">
        <v>241</v>
      </c>
      <c r="U1" s="134" t="s">
        <v>242</v>
      </c>
      <c r="V1" s="134" t="s">
        <v>243</v>
      </c>
      <c r="W1" s="134" t="s">
        <v>244</v>
      </c>
      <c r="X1" s="134" t="s">
        <v>245</v>
      </c>
      <c r="Y1" s="134" t="s">
        <v>246</v>
      </c>
      <c r="Z1" s="134" t="s">
        <v>247</v>
      </c>
      <c r="AA1" s="134" t="s">
        <v>248</v>
      </c>
      <c r="AB1" s="134" t="s">
        <v>249</v>
      </c>
      <c r="AC1" s="134" t="s">
        <v>250</v>
      </c>
      <c r="AD1" s="134" t="s">
        <v>251</v>
      </c>
      <c r="AE1" s="134" t="s">
        <v>252</v>
      </c>
      <c r="AF1" s="137"/>
      <c r="AG1" s="121"/>
      <c r="AH1" s="131"/>
      <c r="AI1" s="132" t="s">
        <v>253</v>
      </c>
      <c r="AJ1" s="132" t="s">
        <v>254</v>
      </c>
    </row>
    <row r="2" s="121" customFormat="1" spans="1:41">
      <c r="A2" s="134" t="s">
        <v>169</v>
      </c>
      <c r="B2" s="134" t="s">
        <v>255</v>
      </c>
      <c r="C2" s="134" t="s">
        <v>255</v>
      </c>
      <c r="D2" s="134" t="s">
        <v>255</v>
      </c>
      <c r="E2" s="134" t="s">
        <v>255</v>
      </c>
      <c r="F2" s="134" t="s">
        <v>255</v>
      </c>
      <c r="G2" s="135" t="s">
        <v>256</v>
      </c>
      <c r="H2" s="135" t="s">
        <v>256</v>
      </c>
      <c r="I2" s="134" t="s">
        <v>255</v>
      </c>
      <c r="J2" s="134" t="s">
        <v>257</v>
      </c>
      <c r="K2" s="134" t="s">
        <v>257</v>
      </c>
      <c r="L2" s="134" t="s">
        <v>255</v>
      </c>
      <c r="M2" s="134" t="s">
        <v>255</v>
      </c>
      <c r="N2" s="134" t="s">
        <v>257</v>
      </c>
      <c r="O2" s="134" t="s">
        <v>257</v>
      </c>
      <c r="P2" s="134" t="s">
        <v>255</v>
      </c>
      <c r="Q2" s="134" t="s">
        <v>255</v>
      </c>
      <c r="R2" s="134" t="s">
        <v>255</v>
      </c>
      <c r="S2" s="134" t="s">
        <v>255</v>
      </c>
      <c r="T2" s="134" t="s">
        <v>255</v>
      </c>
      <c r="U2" s="134" t="s">
        <v>255</v>
      </c>
      <c r="V2" s="134" t="s">
        <v>257</v>
      </c>
      <c r="W2" s="134" t="s">
        <v>255</v>
      </c>
      <c r="X2" s="134" t="s">
        <v>255</v>
      </c>
      <c r="Y2" s="135" t="s">
        <v>256</v>
      </c>
      <c r="Z2" s="134" t="s">
        <v>255</v>
      </c>
      <c r="AA2" s="134" t="s">
        <v>255</v>
      </c>
      <c r="AB2" s="134" t="s">
        <v>255</v>
      </c>
      <c r="AC2" s="134" t="s">
        <v>257</v>
      </c>
      <c r="AD2" s="134" t="s">
        <v>255</v>
      </c>
      <c r="AE2" s="134" t="s">
        <v>255</v>
      </c>
      <c r="AF2" s="137"/>
      <c r="AG2" s="121"/>
      <c r="AH2" s="140" t="s">
        <v>169</v>
      </c>
      <c r="AI2" s="207">
        <v>3</v>
      </c>
      <c r="AJ2" s="207">
        <v>0</v>
      </c>
      <c r="AK2" s="207">
        <f>AI2*25+AJ2*40</f>
        <v>75</v>
      </c>
      <c r="AL2" s="208"/>
      <c r="AO2" s="208"/>
    </row>
    <row r="3" s="121" customFormat="1" spans="1:41">
      <c r="A3" s="134" t="s">
        <v>172</v>
      </c>
      <c r="B3" s="134" t="s">
        <v>257</v>
      </c>
      <c r="C3" s="134" t="s">
        <v>257</v>
      </c>
      <c r="D3" s="136" t="s">
        <v>258</v>
      </c>
      <c r="E3" s="136" t="s">
        <v>258</v>
      </c>
      <c r="F3" s="136" t="s">
        <v>258</v>
      </c>
      <c r="G3" s="136" t="s">
        <v>258</v>
      </c>
      <c r="H3" s="136" t="s">
        <v>258</v>
      </c>
      <c r="I3" s="136" t="s">
        <v>258</v>
      </c>
      <c r="J3" s="136" t="s">
        <v>258</v>
      </c>
      <c r="K3" s="136" t="s">
        <v>258</v>
      </c>
      <c r="L3" s="134" t="s">
        <v>257</v>
      </c>
      <c r="M3" s="136" t="s">
        <v>258</v>
      </c>
      <c r="N3" s="136" t="s">
        <v>258</v>
      </c>
      <c r="O3" s="136" t="s">
        <v>258</v>
      </c>
      <c r="P3" s="136" t="s">
        <v>258</v>
      </c>
      <c r="Q3" s="135" t="s">
        <v>256</v>
      </c>
      <c r="R3" s="136" t="s">
        <v>258</v>
      </c>
      <c r="S3" s="136" t="s">
        <v>258</v>
      </c>
      <c r="T3" s="134" t="s">
        <v>257</v>
      </c>
      <c r="U3" s="134" t="s">
        <v>257</v>
      </c>
      <c r="V3" s="136" t="s">
        <v>258</v>
      </c>
      <c r="W3" s="136" t="s">
        <v>258</v>
      </c>
      <c r="X3" s="136" t="s">
        <v>258</v>
      </c>
      <c r="Y3" s="136" t="s">
        <v>258</v>
      </c>
      <c r="Z3" s="135" t="s">
        <v>256</v>
      </c>
      <c r="AA3" s="136" t="s">
        <v>258</v>
      </c>
      <c r="AB3" s="136" t="s">
        <v>258</v>
      </c>
      <c r="AC3" s="136" t="s">
        <v>258</v>
      </c>
      <c r="AD3" s="134" t="s">
        <v>257</v>
      </c>
      <c r="AE3" s="136" t="s">
        <v>258</v>
      </c>
      <c r="AF3" s="138"/>
      <c r="AG3" s="121"/>
      <c r="AH3" s="140" t="s">
        <v>172</v>
      </c>
      <c r="AI3" s="207">
        <v>2</v>
      </c>
      <c r="AJ3" s="207">
        <v>22</v>
      </c>
      <c r="AK3" s="207">
        <f>AI3*25+AJ3*40</f>
        <v>930</v>
      </c>
      <c r="AL3" s="208"/>
      <c r="AO3" s="208"/>
    </row>
    <row r="4" s="121" customFormat="1" spans="1:41">
      <c r="A4" s="134" t="s">
        <v>175</v>
      </c>
      <c r="B4" s="134" t="s">
        <v>255</v>
      </c>
      <c r="C4" s="134" t="s">
        <v>255</v>
      </c>
      <c r="D4" s="134" t="s">
        <v>257</v>
      </c>
      <c r="E4" s="135" t="s">
        <v>256</v>
      </c>
      <c r="F4" s="134" t="s">
        <v>255</v>
      </c>
      <c r="G4" s="134" t="s">
        <v>255</v>
      </c>
      <c r="H4" s="134" t="s">
        <v>255</v>
      </c>
      <c r="I4" s="134" t="s">
        <v>257</v>
      </c>
      <c r="J4" s="134" t="s">
        <v>257</v>
      </c>
      <c r="K4" s="134" t="s">
        <v>257</v>
      </c>
      <c r="L4" s="134" t="s">
        <v>257</v>
      </c>
      <c r="M4" s="134" t="s">
        <v>257</v>
      </c>
      <c r="N4" s="134" t="s">
        <v>257</v>
      </c>
      <c r="O4" s="134" t="s">
        <v>257</v>
      </c>
      <c r="P4" s="134" t="s">
        <v>257</v>
      </c>
      <c r="Q4" s="134" t="s">
        <v>255</v>
      </c>
      <c r="R4" s="134" t="s">
        <v>255</v>
      </c>
      <c r="S4" s="134" t="s">
        <v>255</v>
      </c>
      <c r="T4" s="134" t="s">
        <v>255</v>
      </c>
      <c r="U4" s="134" t="s">
        <v>257</v>
      </c>
      <c r="V4" s="135" t="s">
        <v>256</v>
      </c>
      <c r="W4" s="135" t="s">
        <v>256</v>
      </c>
      <c r="X4" s="134" t="s">
        <v>255</v>
      </c>
      <c r="Y4" s="134" t="s">
        <v>255</v>
      </c>
      <c r="Z4" s="134" t="s">
        <v>255</v>
      </c>
      <c r="AA4" s="134" t="s">
        <v>255</v>
      </c>
      <c r="AB4" s="134" t="s">
        <v>257</v>
      </c>
      <c r="AC4" s="135" t="s">
        <v>256</v>
      </c>
      <c r="AD4" s="135" t="s">
        <v>256</v>
      </c>
      <c r="AE4" s="134" t="s">
        <v>255</v>
      </c>
      <c r="AF4" s="137"/>
      <c r="AG4" s="121"/>
      <c r="AH4" s="140" t="s">
        <v>175</v>
      </c>
      <c r="AI4" s="207">
        <v>5</v>
      </c>
      <c r="AJ4" s="207">
        <v>0</v>
      </c>
      <c r="AK4" s="207">
        <f>AI4*25+AJ4*40</f>
        <v>125</v>
      </c>
      <c r="AL4" s="208"/>
      <c r="AO4" s="208"/>
    </row>
    <row r="5" s="121" customFormat="1" spans="1:41">
      <c r="A5" s="134" t="s">
        <v>180</v>
      </c>
      <c r="B5" s="136" t="s">
        <v>258</v>
      </c>
      <c r="C5" s="136" t="s">
        <v>258</v>
      </c>
      <c r="D5" s="135" t="s">
        <v>256</v>
      </c>
      <c r="E5" s="134" t="s">
        <v>257</v>
      </c>
      <c r="F5" s="135" t="s">
        <v>256</v>
      </c>
      <c r="G5" s="134" t="s">
        <v>255</v>
      </c>
      <c r="H5" s="134" t="s">
        <v>255</v>
      </c>
      <c r="I5" s="134" t="s">
        <v>255</v>
      </c>
      <c r="J5" s="134" t="s">
        <v>255</v>
      </c>
      <c r="K5" s="134" t="s">
        <v>255</v>
      </c>
      <c r="L5" s="136" t="s">
        <v>258</v>
      </c>
      <c r="M5" s="134" t="s">
        <v>257</v>
      </c>
      <c r="N5" s="135" t="s">
        <v>256</v>
      </c>
      <c r="O5" s="135" t="s">
        <v>256</v>
      </c>
      <c r="P5" s="135" t="s">
        <v>256</v>
      </c>
      <c r="Q5" s="134" t="s">
        <v>257</v>
      </c>
      <c r="R5" s="134" t="s">
        <v>257</v>
      </c>
      <c r="S5" s="136" t="s">
        <v>258</v>
      </c>
      <c r="T5" s="136" t="s">
        <v>258</v>
      </c>
      <c r="U5" s="136" t="s">
        <v>258</v>
      </c>
      <c r="V5" s="134" t="s">
        <v>255</v>
      </c>
      <c r="W5" s="136" t="s">
        <v>258</v>
      </c>
      <c r="X5" s="135" t="s">
        <v>256</v>
      </c>
      <c r="Y5" s="134" t="s">
        <v>255</v>
      </c>
      <c r="Z5" s="134" t="s">
        <v>257</v>
      </c>
      <c r="AA5" s="136" t="s">
        <v>258</v>
      </c>
      <c r="AB5" s="135" t="s">
        <v>256</v>
      </c>
      <c r="AC5" s="134" t="s">
        <v>255</v>
      </c>
      <c r="AD5" s="136" t="s">
        <v>258</v>
      </c>
      <c r="AE5" s="134" t="s">
        <v>257</v>
      </c>
      <c r="AF5" s="137"/>
      <c r="AG5" s="121"/>
      <c r="AH5" s="140" t="s">
        <v>180</v>
      </c>
      <c r="AI5" s="207">
        <v>7</v>
      </c>
      <c r="AJ5" s="207">
        <v>9</v>
      </c>
      <c r="AK5" s="207">
        <f>AI5*25+AJ5*40</f>
        <v>535</v>
      </c>
      <c r="AL5" s="208"/>
      <c r="AO5" s="208"/>
    </row>
    <row r="6" s="121" customFormat="1" spans="1:41">
      <c r="A6" s="134" t="s">
        <v>178</v>
      </c>
      <c r="B6" s="135" t="s">
        <v>256</v>
      </c>
      <c r="C6" s="135" t="s">
        <v>256</v>
      </c>
      <c r="D6" s="134" t="s">
        <v>255</v>
      </c>
      <c r="E6" s="134" t="s">
        <v>255</v>
      </c>
      <c r="F6" s="134" t="s">
        <v>257</v>
      </c>
      <c r="G6" s="134" t="s">
        <v>257</v>
      </c>
      <c r="H6" s="136" t="s">
        <v>258</v>
      </c>
      <c r="I6" s="135" t="s">
        <v>256</v>
      </c>
      <c r="J6" s="135" t="s">
        <v>256</v>
      </c>
      <c r="K6" s="135" t="s">
        <v>256</v>
      </c>
      <c r="L6" s="135" t="s">
        <v>256</v>
      </c>
      <c r="M6" s="135" t="s">
        <v>256</v>
      </c>
      <c r="N6" s="134" t="s">
        <v>255</v>
      </c>
      <c r="O6" s="134" t="s">
        <v>255</v>
      </c>
      <c r="P6" s="134" t="s">
        <v>257</v>
      </c>
      <c r="Q6" s="136" t="s">
        <v>258</v>
      </c>
      <c r="R6" s="135" t="s">
        <v>256</v>
      </c>
      <c r="S6" s="135" t="s">
        <v>256</v>
      </c>
      <c r="T6" s="135" t="s">
        <v>256</v>
      </c>
      <c r="U6" s="135" t="s">
        <v>256</v>
      </c>
      <c r="V6" s="134" t="s">
        <v>255</v>
      </c>
      <c r="W6" s="134" t="s">
        <v>255</v>
      </c>
      <c r="X6" s="134" t="s">
        <v>257</v>
      </c>
      <c r="Y6" s="134" t="s">
        <v>257</v>
      </c>
      <c r="Z6" s="136" t="s">
        <v>258</v>
      </c>
      <c r="AA6" s="135" t="s">
        <v>256</v>
      </c>
      <c r="AB6" s="134" t="s">
        <v>255</v>
      </c>
      <c r="AC6" s="134" t="s">
        <v>255</v>
      </c>
      <c r="AD6" s="134" t="s">
        <v>255</v>
      </c>
      <c r="AE6" s="135" t="s">
        <v>256</v>
      </c>
      <c r="AF6" s="137"/>
      <c r="AG6" s="121"/>
      <c r="AH6" s="140" t="s">
        <v>178</v>
      </c>
      <c r="AI6" s="207">
        <v>13</v>
      </c>
      <c r="AJ6" s="207">
        <v>3</v>
      </c>
      <c r="AK6" s="207">
        <f>AI6*25+AJ6*40</f>
        <v>445</v>
      </c>
      <c r="AL6" s="208"/>
      <c r="AO6" s="208"/>
    </row>
    <row r="7" s="122" customFormat="1" spans="1:41">
      <c r="A7" s="137"/>
      <c r="B7" s="137"/>
      <c r="C7" s="137"/>
      <c r="D7" s="138"/>
      <c r="E7" s="137"/>
      <c r="F7" s="137"/>
      <c r="G7" s="138"/>
      <c r="H7" s="137"/>
      <c r="I7" s="137"/>
      <c r="J7" s="137"/>
      <c r="K7" s="137"/>
      <c r="L7" s="137"/>
      <c r="M7" s="137"/>
      <c r="N7" s="137"/>
      <c r="O7" s="137"/>
      <c r="P7" s="138"/>
      <c r="Q7" s="137"/>
      <c r="R7" s="137"/>
      <c r="S7" s="137"/>
      <c r="T7" s="137"/>
      <c r="U7" s="137"/>
      <c r="V7" s="137"/>
      <c r="W7" s="137"/>
      <c r="X7" s="137"/>
      <c r="Y7" s="137"/>
      <c r="Z7" s="138"/>
      <c r="AA7" s="138"/>
      <c r="AB7" s="138"/>
      <c r="AC7" s="137"/>
      <c r="AD7" s="138"/>
      <c r="AE7" s="137"/>
      <c r="AF7" s="137"/>
      <c r="AK7" s="209">
        <f>SUM(AK2:AK6)</f>
        <v>2110</v>
      </c>
      <c r="AL7" s="209"/>
      <c r="AO7" s="209"/>
    </row>
    <row r="8" s="122" customFormat="1" spans="35:41">
      <c r="AI8" s="209"/>
      <c r="AJ8" s="209"/>
      <c r="AK8" s="209"/>
      <c r="AL8" s="209"/>
      <c r="AO8" s="209"/>
    </row>
    <row r="9" s="121" customFormat="1" spans="32:41">
      <c r="AF9" s="122"/>
      <c r="AG9" s="122"/>
      <c r="AK9" s="208"/>
      <c r="AL9" s="208"/>
      <c r="AO9" s="208"/>
    </row>
    <row r="10" s="121" customFormat="1" ht="19" customHeight="1" spans="1:41">
      <c r="A10" s="139" t="s">
        <v>4</v>
      </c>
      <c r="B10" s="140" t="s">
        <v>223</v>
      </c>
      <c r="C10" s="140" t="s">
        <v>224</v>
      </c>
      <c r="D10" s="140" t="s">
        <v>225</v>
      </c>
      <c r="E10" s="140" t="s">
        <v>226</v>
      </c>
      <c r="F10" s="140" t="s">
        <v>227</v>
      </c>
      <c r="G10" s="140" t="s">
        <v>228</v>
      </c>
      <c r="H10" s="140" t="s">
        <v>229</v>
      </c>
      <c r="I10" s="140" t="s">
        <v>230</v>
      </c>
      <c r="J10" s="140" t="s">
        <v>231</v>
      </c>
      <c r="K10" s="140" t="s">
        <v>232</v>
      </c>
      <c r="L10" s="140" t="s">
        <v>233</v>
      </c>
      <c r="M10" s="140" t="s">
        <v>234</v>
      </c>
      <c r="N10" s="140" t="s">
        <v>235</v>
      </c>
      <c r="O10" s="140" t="s">
        <v>236</v>
      </c>
      <c r="P10" s="140" t="s">
        <v>237</v>
      </c>
      <c r="Q10" s="140" t="s">
        <v>238</v>
      </c>
      <c r="R10" s="140" t="s">
        <v>239</v>
      </c>
      <c r="S10" s="140" t="s">
        <v>240</v>
      </c>
      <c r="T10" s="140" t="s">
        <v>241</v>
      </c>
      <c r="U10" s="140" t="s">
        <v>242</v>
      </c>
      <c r="V10" s="140" t="s">
        <v>243</v>
      </c>
      <c r="W10" s="140" t="s">
        <v>244</v>
      </c>
      <c r="X10" s="140" t="s">
        <v>245</v>
      </c>
      <c r="Y10" s="140" t="s">
        <v>246</v>
      </c>
      <c r="Z10" s="140" t="s">
        <v>247</v>
      </c>
      <c r="AA10" s="140" t="s">
        <v>248</v>
      </c>
      <c r="AB10" s="140" t="s">
        <v>249</v>
      </c>
      <c r="AC10" s="140" t="s">
        <v>250</v>
      </c>
      <c r="AD10" s="140" t="s">
        <v>251</v>
      </c>
      <c r="AE10" s="140" t="s">
        <v>252</v>
      </c>
      <c r="AF10" s="137"/>
      <c r="AH10" s="122"/>
      <c r="AI10" s="208" t="s">
        <v>253</v>
      </c>
      <c r="AJ10" s="208" t="s">
        <v>254</v>
      </c>
      <c r="AL10" s="208"/>
      <c r="AO10" s="208"/>
    </row>
    <row r="11" s="121" customFormat="1" ht="20" customHeight="1" spans="1:41">
      <c r="A11" s="140" t="s">
        <v>215</v>
      </c>
      <c r="B11" s="140" t="s">
        <v>255</v>
      </c>
      <c r="C11" s="140" t="s">
        <v>255</v>
      </c>
      <c r="D11" s="140" t="s">
        <v>257</v>
      </c>
      <c r="E11" s="135" t="s">
        <v>259</v>
      </c>
      <c r="F11" s="135" t="s">
        <v>259</v>
      </c>
      <c r="G11" s="135" t="s">
        <v>259</v>
      </c>
      <c r="H11" s="135" t="s">
        <v>259</v>
      </c>
      <c r="I11" s="140" t="s">
        <v>257</v>
      </c>
      <c r="J11" s="135" t="s">
        <v>259</v>
      </c>
      <c r="K11" s="140" t="s">
        <v>257</v>
      </c>
      <c r="L11" s="135" t="s">
        <v>259</v>
      </c>
      <c r="M11" s="135" t="s">
        <v>259</v>
      </c>
      <c r="N11" s="135" t="s">
        <v>259</v>
      </c>
      <c r="O11" s="140" t="s">
        <v>255</v>
      </c>
      <c r="P11" s="135" t="s">
        <v>259</v>
      </c>
      <c r="Q11" s="140" t="s">
        <v>255</v>
      </c>
      <c r="R11" s="140" t="s">
        <v>257</v>
      </c>
      <c r="S11" s="135" t="s">
        <v>259</v>
      </c>
      <c r="T11" s="140" t="s">
        <v>255</v>
      </c>
      <c r="U11" s="135" t="s">
        <v>259</v>
      </c>
      <c r="V11" s="135" t="s">
        <v>259</v>
      </c>
      <c r="W11" s="135" t="s">
        <v>259</v>
      </c>
      <c r="X11" s="136" t="s">
        <v>260</v>
      </c>
      <c r="Y11" s="140" t="s">
        <v>257</v>
      </c>
      <c r="Z11" s="135" t="s">
        <v>259</v>
      </c>
      <c r="AA11" s="140" t="s">
        <v>255</v>
      </c>
      <c r="AB11" s="140" t="s">
        <v>255</v>
      </c>
      <c r="AC11" s="134" t="s">
        <v>255</v>
      </c>
      <c r="AD11" s="140" t="s">
        <v>255</v>
      </c>
      <c r="AE11" s="140" t="s">
        <v>257</v>
      </c>
      <c r="AF11" s="137"/>
      <c r="AH11" s="210" t="s">
        <v>215</v>
      </c>
      <c r="AI11" s="211">
        <v>14</v>
      </c>
      <c r="AJ11" s="211">
        <v>1</v>
      </c>
      <c r="AK11" s="211">
        <f>AI11*25+AJ11*40</f>
        <v>390</v>
      </c>
      <c r="AL11" s="208"/>
      <c r="AO11" s="208"/>
    </row>
    <row r="12" s="121" customFormat="1" ht="20" customHeight="1" spans="1:41">
      <c r="A12" s="140" t="s">
        <v>205</v>
      </c>
      <c r="B12" s="136" t="s">
        <v>260</v>
      </c>
      <c r="C12" s="136" t="s">
        <v>260</v>
      </c>
      <c r="D12" s="136" t="s">
        <v>260</v>
      </c>
      <c r="E12" s="140" t="s">
        <v>257</v>
      </c>
      <c r="F12" s="140" t="s">
        <v>257</v>
      </c>
      <c r="G12" s="136" t="s">
        <v>260</v>
      </c>
      <c r="H12" s="136" t="s">
        <v>260</v>
      </c>
      <c r="I12" s="136" t="s">
        <v>260</v>
      </c>
      <c r="J12" s="136" t="s">
        <v>260</v>
      </c>
      <c r="K12" s="136" t="s">
        <v>260</v>
      </c>
      <c r="L12" s="140" t="s">
        <v>257</v>
      </c>
      <c r="M12" s="140" t="s">
        <v>255</v>
      </c>
      <c r="N12" s="140" t="s">
        <v>255</v>
      </c>
      <c r="O12" s="140" t="s">
        <v>259</v>
      </c>
      <c r="P12" s="180" t="s">
        <v>255</v>
      </c>
      <c r="Q12" s="140" t="s">
        <v>257</v>
      </c>
      <c r="R12" s="140" t="s">
        <v>255</v>
      </c>
      <c r="S12" s="140" t="s">
        <v>255</v>
      </c>
      <c r="T12" s="136" t="s">
        <v>260</v>
      </c>
      <c r="U12" s="136" t="s">
        <v>260</v>
      </c>
      <c r="V12" s="136" t="s">
        <v>260</v>
      </c>
      <c r="W12" s="136" t="s">
        <v>260</v>
      </c>
      <c r="X12" s="140" t="s">
        <v>257</v>
      </c>
      <c r="Y12" s="136" t="s">
        <v>260</v>
      </c>
      <c r="Z12" s="136" t="s">
        <v>260</v>
      </c>
      <c r="AA12" s="135" t="s">
        <v>259</v>
      </c>
      <c r="AB12" s="136" t="s">
        <v>260</v>
      </c>
      <c r="AC12" s="136" t="s">
        <v>260</v>
      </c>
      <c r="AD12" s="140" t="s">
        <v>257</v>
      </c>
      <c r="AE12" s="140" t="s">
        <v>255</v>
      </c>
      <c r="AF12" s="138"/>
      <c r="AH12" s="210" t="s">
        <v>205</v>
      </c>
      <c r="AI12" s="211">
        <v>2</v>
      </c>
      <c r="AJ12" s="211">
        <v>16</v>
      </c>
      <c r="AK12" s="211">
        <f>AI12*25+AJ12*40</f>
        <v>690</v>
      </c>
      <c r="AL12" s="208"/>
      <c r="AO12" s="208"/>
    </row>
    <row r="13" s="121" customFormat="1" ht="20" customHeight="1" spans="1:41">
      <c r="A13" s="140" t="s">
        <v>202</v>
      </c>
      <c r="B13" s="140" t="s">
        <v>257</v>
      </c>
      <c r="C13" s="140" t="s">
        <v>257</v>
      </c>
      <c r="D13" s="140" t="s">
        <v>255</v>
      </c>
      <c r="E13" s="140" t="s">
        <v>255</v>
      </c>
      <c r="F13" s="140" t="s">
        <v>255</v>
      </c>
      <c r="G13" s="140" t="s">
        <v>255</v>
      </c>
      <c r="H13" s="140" t="s">
        <v>257</v>
      </c>
      <c r="I13" s="140" t="s">
        <v>255</v>
      </c>
      <c r="J13" s="140" t="s">
        <v>255</v>
      </c>
      <c r="K13" s="140" t="s">
        <v>255</v>
      </c>
      <c r="L13" s="136" t="s">
        <v>260</v>
      </c>
      <c r="M13" s="136" t="s">
        <v>260</v>
      </c>
      <c r="N13" s="136" t="s">
        <v>260</v>
      </c>
      <c r="O13" s="136" t="s">
        <v>260</v>
      </c>
      <c r="P13" s="136" t="s">
        <v>260</v>
      </c>
      <c r="Q13" s="136" t="s">
        <v>260</v>
      </c>
      <c r="R13" s="136" t="s">
        <v>260</v>
      </c>
      <c r="S13" s="136" t="s">
        <v>260</v>
      </c>
      <c r="T13" s="140" t="s">
        <v>257</v>
      </c>
      <c r="U13" s="140" t="s">
        <v>255</v>
      </c>
      <c r="V13" s="140" t="s">
        <v>255</v>
      </c>
      <c r="W13" s="140" t="s">
        <v>255</v>
      </c>
      <c r="X13" s="140" t="s">
        <v>255</v>
      </c>
      <c r="Y13" s="140" t="s">
        <v>255</v>
      </c>
      <c r="Z13" s="140" t="s">
        <v>255</v>
      </c>
      <c r="AA13" s="136" t="s">
        <v>260</v>
      </c>
      <c r="AB13" s="140" t="s">
        <v>257</v>
      </c>
      <c r="AC13" s="140" t="s">
        <v>257</v>
      </c>
      <c r="AD13" s="136" t="s">
        <v>260</v>
      </c>
      <c r="AE13" s="136" t="s">
        <v>260</v>
      </c>
      <c r="AF13" s="137"/>
      <c r="AH13" s="210" t="s">
        <v>202</v>
      </c>
      <c r="AI13" s="211">
        <v>0</v>
      </c>
      <c r="AJ13" s="211">
        <v>11</v>
      </c>
      <c r="AK13" s="211">
        <f>AI13*25+AJ13*40</f>
        <v>440</v>
      </c>
      <c r="AL13" s="208"/>
      <c r="AO13" s="208"/>
    </row>
    <row r="14" s="123" customFormat="1" ht="20" customHeight="1" spans="32:41">
      <c r="AF14" s="137"/>
      <c r="AG14" s="137"/>
      <c r="AH14" s="212" t="s">
        <v>199</v>
      </c>
      <c r="AI14" s="213">
        <v>5</v>
      </c>
      <c r="AJ14" s="213">
        <v>2</v>
      </c>
      <c r="AK14" s="214">
        <f>AI14*25+AJ14*40</f>
        <v>205</v>
      </c>
      <c r="AL14" s="208"/>
      <c r="AO14" s="208"/>
    </row>
    <row r="15" s="124" customFormat="1" ht="21" spans="1:37">
      <c r="A15" s="141" t="s">
        <v>261</v>
      </c>
      <c r="B15" s="141"/>
      <c r="C15" s="141"/>
      <c r="D15" s="124"/>
      <c r="E15" s="142" t="s">
        <v>262</v>
      </c>
      <c r="F15" s="142"/>
      <c r="G15" s="142"/>
      <c r="H15" s="124"/>
      <c r="I15" s="142" t="s">
        <v>263</v>
      </c>
      <c r="J15" s="142"/>
      <c r="K15" s="142"/>
      <c r="AK15" s="124">
        <f>SUM(AK11:AK14)</f>
        <v>1725</v>
      </c>
    </row>
    <row r="16" s="124" customFormat="1" ht="18" spans="1:11">
      <c r="A16" s="143" t="s">
        <v>264</v>
      </c>
      <c r="B16" s="144" t="s">
        <v>265</v>
      </c>
      <c r="C16" s="144" t="s">
        <v>266</v>
      </c>
      <c r="D16" s="124"/>
      <c r="E16" s="145" t="s">
        <v>264</v>
      </c>
      <c r="F16" s="145" t="s">
        <v>267</v>
      </c>
      <c r="G16" s="145" t="s">
        <v>268</v>
      </c>
      <c r="H16" s="124"/>
      <c r="I16" s="145" t="s">
        <v>264</v>
      </c>
      <c r="J16" s="145" t="s">
        <v>267</v>
      </c>
      <c r="K16" s="145" t="s">
        <v>268</v>
      </c>
    </row>
    <row r="17" s="124" customFormat="1" ht="16.5" spans="1:11">
      <c r="A17" s="146" t="s">
        <v>269</v>
      </c>
      <c r="B17" s="146" t="s">
        <v>172</v>
      </c>
      <c r="C17" s="147">
        <v>1.01</v>
      </c>
      <c r="D17" s="148">
        <f t="shared" ref="D17:D22" si="0">1000*C17</f>
        <v>1010</v>
      </c>
      <c r="E17" s="146" t="s">
        <v>269</v>
      </c>
      <c r="F17" s="146" t="s">
        <v>178</v>
      </c>
      <c r="G17" s="149">
        <v>327</v>
      </c>
      <c r="H17" s="124"/>
      <c r="I17" s="146" t="s">
        <v>269</v>
      </c>
      <c r="J17" s="146" t="s">
        <v>178</v>
      </c>
      <c r="K17" s="146">
        <v>-20</v>
      </c>
    </row>
    <row r="18" s="124" customFormat="1" ht="16.5" spans="1:11">
      <c r="A18" s="146" t="s">
        <v>269</v>
      </c>
      <c r="B18" s="146" t="s">
        <v>175</v>
      </c>
      <c r="C18" s="147">
        <v>1.06</v>
      </c>
      <c r="D18" s="148">
        <f t="shared" si="0"/>
        <v>1060</v>
      </c>
      <c r="E18" s="146" t="s">
        <v>269</v>
      </c>
      <c r="F18" s="146" t="s">
        <v>169</v>
      </c>
      <c r="G18" s="149">
        <v>214</v>
      </c>
      <c r="H18" s="124"/>
      <c r="I18" s="146" t="s">
        <v>269</v>
      </c>
      <c r="J18" s="146" t="s">
        <v>180</v>
      </c>
      <c r="K18" s="146">
        <v>30</v>
      </c>
    </row>
    <row r="19" s="124" customFormat="1" ht="16.5" spans="1:11">
      <c r="A19" s="146" t="s">
        <v>269</v>
      </c>
      <c r="B19" s="146" t="s">
        <v>180</v>
      </c>
      <c r="C19" s="147">
        <v>1.07</v>
      </c>
      <c r="D19" s="148">
        <f t="shared" si="0"/>
        <v>1070</v>
      </c>
      <c r="E19" s="146" t="s">
        <v>269</v>
      </c>
      <c r="F19" s="146" t="s">
        <v>175</v>
      </c>
      <c r="G19" s="149">
        <v>337</v>
      </c>
      <c r="H19" s="124"/>
      <c r="I19" s="146" t="s">
        <v>269</v>
      </c>
      <c r="J19" s="146" t="s">
        <v>175</v>
      </c>
      <c r="K19" s="146">
        <v>-20</v>
      </c>
    </row>
    <row r="20" s="124" customFormat="1" ht="16.5" spans="1:11">
      <c r="A20" s="146" t="s">
        <v>269</v>
      </c>
      <c r="B20" s="146" t="s">
        <v>169</v>
      </c>
      <c r="C20" s="147">
        <v>1.02</v>
      </c>
      <c r="D20" s="148">
        <f t="shared" si="0"/>
        <v>1020</v>
      </c>
      <c r="E20" s="146" t="s">
        <v>269</v>
      </c>
      <c r="F20" s="146" t="s">
        <v>172</v>
      </c>
      <c r="G20" s="149">
        <v>463</v>
      </c>
      <c r="H20" s="124"/>
      <c r="I20" s="146" t="s">
        <v>269</v>
      </c>
      <c r="J20" s="146" t="s">
        <v>169</v>
      </c>
      <c r="K20" s="146">
        <v>-20</v>
      </c>
    </row>
    <row r="21" s="124" customFormat="1" ht="16.5" spans="1:11">
      <c r="A21" s="146" t="s">
        <v>269</v>
      </c>
      <c r="B21" s="146" t="s">
        <v>178</v>
      </c>
      <c r="C21" s="147">
        <v>1.11</v>
      </c>
      <c r="D21" s="148">
        <f t="shared" si="0"/>
        <v>1110</v>
      </c>
      <c r="E21" s="146" t="s">
        <v>269</v>
      </c>
      <c r="F21" s="146" t="s">
        <v>180</v>
      </c>
      <c r="G21" s="149">
        <v>384</v>
      </c>
      <c r="H21" s="124"/>
      <c r="I21" s="146" t="s">
        <v>269</v>
      </c>
      <c r="J21" s="146" t="s">
        <v>172</v>
      </c>
      <c r="K21" s="146">
        <v>-20</v>
      </c>
    </row>
    <row r="22" s="124" customFormat="1" ht="17.25" spans="1:11">
      <c r="A22" s="146" t="s">
        <v>270</v>
      </c>
      <c r="B22" s="146" t="s">
        <v>166</v>
      </c>
      <c r="C22" s="150">
        <v>1.05</v>
      </c>
      <c r="D22" s="148">
        <f t="shared" si="0"/>
        <v>1050</v>
      </c>
      <c r="E22" s="146" t="s">
        <v>270</v>
      </c>
      <c r="F22" s="146" t="s">
        <v>166</v>
      </c>
      <c r="G22" s="149">
        <v>173.5</v>
      </c>
      <c r="H22" s="124"/>
      <c r="I22" s="146"/>
      <c r="J22" s="146"/>
      <c r="K22" s="146"/>
    </row>
    <row r="23" ht="17.25" spans="1:17">
      <c r="A23" s="151"/>
      <c r="B23"/>
      <c r="C23"/>
      <c r="M23" s="131"/>
      <c r="N23" s="181"/>
      <c r="O23" s="181"/>
      <c r="P23" s="181"/>
      <c r="Q23" s="181"/>
    </row>
    <row r="24" ht="21" spans="1:17">
      <c r="A24" s="141" t="s">
        <v>271</v>
      </c>
      <c r="B24" s="141"/>
      <c r="C24" s="141"/>
      <c r="E24" s="141" t="s">
        <v>272</v>
      </c>
      <c r="F24" s="141"/>
      <c r="G24" s="141"/>
      <c r="M24" s="131"/>
      <c r="N24" s="181"/>
      <c r="O24" s="181"/>
      <c r="P24" s="181"/>
      <c r="Q24" s="181"/>
    </row>
    <row r="25" ht="18" spans="1:17">
      <c r="A25" s="145" t="s">
        <v>264</v>
      </c>
      <c r="B25" s="144" t="s">
        <v>265</v>
      </c>
      <c r="C25" s="144" t="s">
        <v>266</v>
      </c>
      <c r="E25" s="145" t="s">
        <v>264</v>
      </c>
      <c r="F25" s="144" t="s">
        <v>265</v>
      </c>
      <c r="G25" s="144" t="s">
        <v>266</v>
      </c>
      <c r="M25" s="131"/>
      <c r="N25" s="181"/>
      <c r="O25" s="182"/>
      <c r="P25" s="182"/>
      <c r="Q25" s="181"/>
    </row>
    <row r="26" ht="17.25" spans="1:17">
      <c r="A26" s="152" t="s">
        <v>273</v>
      </c>
      <c r="B26" s="152" t="s">
        <v>202</v>
      </c>
      <c r="C26" s="152">
        <v>94</v>
      </c>
      <c r="E26" s="152" t="s">
        <v>274</v>
      </c>
      <c r="F26" s="152" t="s">
        <v>100</v>
      </c>
      <c r="G26" s="152">
        <v>90</v>
      </c>
      <c r="M26" s="131"/>
      <c r="N26" s="181"/>
      <c r="O26" s="182"/>
      <c r="P26" s="182"/>
      <c r="Q26" s="181"/>
    </row>
    <row r="27" ht="17.25" spans="1:17">
      <c r="A27" s="152" t="s">
        <v>273</v>
      </c>
      <c r="B27" s="152" t="s">
        <v>205</v>
      </c>
      <c r="C27" s="152">
        <v>95</v>
      </c>
      <c r="E27" s="152" t="s">
        <v>275</v>
      </c>
      <c r="F27" s="152" t="s">
        <v>183</v>
      </c>
      <c r="G27" s="152">
        <v>105</v>
      </c>
      <c r="M27" s="131"/>
      <c r="N27" s="181"/>
      <c r="O27" s="182"/>
      <c r="P27" s="182"/>
      <c r="Q27" s="181"/>
    </row>
    <row r="28" ht="17.25" spans="1:17">
      <c r="A28" s="152" t="s">
        <v>273</v>
      </c>
      <c r="B28" s="152" t="s">
        <v>215</v>
      </c>
      <c r="C28" s="152">
        <v>92</v>
      </c>
      <c r="E28" s="152" t="s">
        <v>276</v>
      </c>
      <c r="F28" s="152" t="s">
        <v>192</v>
      </c>
      <c r="G28" s="152">
        <v>90</v>
      </c>
      <c r="M28" s="131"/>
      <c r="N28" s="181"/>
      <c r="O28" s="182"/>
      <c r="P28" s="182"/>
      <c r="Q28" s="181"/>
    </row>
    <row r="29" customFormat="1" ht="17.25" spans="5:33">
      <c r="E29" s="131"/>
      <c r="F29" s="153"/>
      <c r="G29" s="153"/>
      <c r="M29" s="131"/>
      <c r="N29" s="181"/>
      <c r="O29" s="181"/>
      <c r="P29" s="183"/>
      <c r="Q29" s="181"/>
      <c r="AF29" s="131"/>
      <c r="AG29" s="131"/>
    </row>
    <row r="30" s="125" customFormat="1" spans="1:16382">
      <c r="A30" s="154" t="s">
        <v>2</v>
      </c>
      <c r="B30" s="154" t="s">
        <v>277</v>
      </c>
      <c r="C30" s="154" t="s">
        <v>278</v>
      </c>
      <c r="D30" s="154" t="s">
        <v>279</v>
      </c>
      <c r="E30" s="154" t="s">
        <v>280</v>
      </c>
      <c r="F30" s="155" t="s">
        <v>281</v>
      </c>
      <c r="G30" s="154" t="s">
        <v>282</v>
      </c>
      <c r="H30" s="154" t="s">
        <v>283</v>
      </c>
      <c r="I30" s="155" t="s">
        <v>284</v>
      </c>
      <c r="J30" s="155" t="s">
        <v>285</v>
      </c>
      <c r="K30" s="154" t="s">
        <v>286</v>
      </c>
      <c r="L30" s="154" t="s">
        <v>287</v>
      </c>
      <c r="M30" s="184"/>
      <c r="N30" s="184"/>
      <c r="O30" s="184"/>
      <c r="P30" s="184"/>
      <c r="R30" s="184"/>
      <c r="AF30" s="151"/>
      <c r="AG30" s="151"/>
      <c r="XFB30" s="63"/>
    </row>
    <row r="31" s="125" customFormat="1" ht="23" customHeight="1" spans="1:16382">
      <c r="A31" s="154"/>
      <c r="B31" s="154"/>
      <c r="C31" s="154"/>
      <c r="D31" s="154"/>
      <c r="E31" s="154"/>
      <c r="F31" s="155"/>
      <c r="G31" s="154"/>
      <c r="H31" s="154"/>
      <c r="I31" s="155"/>
      <c r="J31" s="155"/>
      <c r="K31" s="154"/>
      <c r="L31" s="154"/>
      <c r="M31" s="184"/>
      <c r="N31" s="184"/>
      <c r="O31" s="184"/>
      <c r="P31" s="184"/>
      <c r="R31" s="184"/>
      <c r="AF31" s="151"/>
      <c r="AG31" s="151"/>
      <c r="XFB31" s="63"/>
    </row>
    <row r="32" s="126" customFormat="1" spans="1:16382">
      <c r="A32" s="156">
        <v>1</v>
      </c>
      <c r="B32" s="157" t="s">
        <v>288</v>
      </c>
      <c r="C32" s="158" t="s">
        <v>289</v>
      </c>
      <c r="D32" s="158">
        <v>458</v>
      </c>
      <c r="E32" s="158" t="s">
        <v>290</v>
      </c>
      <c r="F32" s="159">
        <f>D32/40/4</f>
        <v>2.8625</v>
      </c>
      <c r="G32" s="158">
        <v>7</v>
      </c>
      <c r="H32" s="160">
        <f>G32/F32</f>
        <v>2.44541484716157</v>
      </c>
      <c r="I32" s="185">
        <f>_xlfn.IFS(H32&gt;1.5,0.5,1.25&lt;=H32,0.6,1&lt;H32,0.8,1=H32,1,0.75&lt;=H32,1.2,0.5&lt;=H32,1.4,H32&lt;=0.5,1.5)</f>
        <v>0.5</v>
      </c>
      <c r="J32" s="186">
        <v>0.93</v>
      </c>
      <c r="K32" s="187">
        <f t="shared" ref="K32:K40" si="1">D32*6*I32*J32</f>
        <v>1277.82</v>
      </c>
      <c r="L32" s="188"/>
      <c r="N32" s="189"/>
      <c r="O32" s="190"/>
      <c r="P32" s="191"/>
      <c r="R32" s="189"/>
      <c r="U32" s="204"/>
      <c r="AF32" s="151"/>
      <c r="AG32" s="151"/>
      <c r="XFB32" s="63"/>
    </row>
    <row r="33" s="126" customFormat="1" spans="1:16382">
      <c r="A33" s="156">
        <v>2</v>
      </c>
      <c r="B33" s="157" t="s">
        <v>288</v>
      </c>
      <c r="C33" s="158" t="s">
        <v>291</v>
      </c>
      <c r="D33" s="158">
        <v>118</v>
      </c>
      <c r="E33" s="158" t="s">
        <v>292</v>
      </c>
      <c r="F33" s="159">
        <f>D33/20</f>
        <v>5.9</v>
      </c>
      <c r="G33" s="158">
        <v>18</v>
      </c>
      <c r="H33" s="160">
        <f t="shared" ref="H33:H40" si="2">G33/F33</f>
        <v>3.05084745762712</v>
      </c>
      <c r="I33" s="185">
        <f t="shared" ref="I33:I40" si="3">_xlfn.IFS(H33&gt;1.5,0.5,1.25&lt;=H33,0.6,1&lt;H33,0.8,1=H33,1,0.75&lt;=H33,1.2,0.5&lt;=H33,1.4,H33&lt;=0.5,1.5)</f>
        <v>0.5</v>
      </c>
      <c r="J33" s="186">
        <v>0.8</v>
      </c>
      <c r="K33" s="187">
        <f>D33*12*I33*J33</f>
        <v>566.4</v>
      </c>
      <c r="L33" s="152"/>
      <c r="N33" s="189"/>
      <c r="O33" s="190"/>
      <c r="P33" s="191"/>
      <c r="R33" s="189"/>
      <c r="U33" s="204"/>
      <c r="AF33" s="151"/>
      <c r="AG33" s="151"/>
      <c r="XFB33" s="63"/>
    </row>
    <row r="34" s="127" customFormat="1" spans="1:16382">
      <c r="A34" s="156">
        <v>3</v>
      </c>
      <c r="B34" s="157" t="s">
        <v>288</v>
      </c>
      <c r="C34" s="158" t="s">
        <v>293</v>
      </c>
      <c r="D34" s="158">
        <v>135</v>
      </c>
      <c r="E34" s="158" t="s">
        <v>290</v>
      </c>
      <c r="F34" s="159">
        <f>D34/40/2</f>
        <v>1.6875</v>
      </c>
      <c r="G34" s="158">
        <v>3.5</v>
      </c>
      <c r="H34" s="160">
        <f t="shared" si="2"/>
        <v>2.07407407407407</v>
      </c>
      <c r="I34" s="185">
        <f t="shared" si="3"/>
        <v>0.5</v>
      </c>
      <c r="J34" s="186">
        <v>0.99</v>
      </c>
      <c r="K34" s="187">
        <f t="shared" si="1"/>
        <v>400.95</v>
      </c>
      <c r="L34" s="188"/>
      <c r="N34" s="189"/>
      <c r="O34" s="190"/>
      <c r="P34" s="191"/>
      <c r="R34" s="189"/>
      <c r="U34" s="204"/>
      <c r="V34" s="126"/>
      <c r="AF34" s="151"/>
      <c r="AG34" s="151"/>
      <c r="XFB34" s="63"/>
    </row>
    <row r="35" s="128" customFormat="1" spans="1:16382">
      <c r="A35" s="156">
        <v>4</v>
      </c>
      <c r="B35" s="157" t="s">
        <v>288</v>
      </c>
      <c r="C35" s="158" t="s">
        <v>294</v>
      </c>
      <c r="D35" s="158">
        <v>70</v>
      </c>
      <c r="E35" s="158" t="s">
        <v>292</v>
      </c>
      <c r="F35" s="159">
        <f>D35/(20*2)</f>
        <v>1.75</v>
      </c>
      <c r="G35" s="158">
        <v>6</v>
      </c>
      <c r="H35" s="160">
        <f t="shared" si="2"/>
        <v>3.42857142857143</v>
      </c>
      <c r="I35" s="185">
        <f t="shared" si="3"/>
        <v>0.5</v>
      </c>
      <c r="J35" s="186">
        <v>0.43</v>
      </c>
      <c r="K35" s="187">
        <f>D35*12*I35*J35</f>
        <v>180.6</v>
      </c>
      <c r="L35" s="188"/>
      <c r="N35" s="189"/>
      <c r="O35" s="190"/>
      <c r="P35" s="191"/>
      <c r="Q35" s="127"/>
      <c r="R35" s="189"/>
      <c r="U35" s="205"/>
      <c r="V35" s="171"/>
      <c r="AF35" s="127"/>
      <c r="AG35" s="127"/>
      <c r="XFB35" s="63"/>
    </row>
    <row r="36" s="128" customFormat="1" spans="1:16382">
      <c r="A36" s="156">
        <v>5</v>
      </c>
      <c r="B36" s="157" t="s">
        <v>288</v>
      </c>
      <c r="C36" s="158" t="s">
        <v>295</v>
      </c>
      <c r="D36" s="158">
        <v>97</v>
      </c>
      <c r="E36" s="158" t="s">
        <v>290</v>
      </c>
      <c r="F36" s="159">
        <f>D36/(40*2)</f>
        <v>1.2125</v>
      </c>
      <c r="G36" s="158">
        <v>3</v>
      </c>
      <c r="H36" s="160">
        <f t="shared" si="2"/>
        <v>2.47422680412371</v>
      </c>
      <c r="I36" s="185">
        <f t="shared" si="3"/>
        <v>0.5</v>
      </c>
      <c r="J36" s="186">
        <v>0.9</v>
      </c>
      <c r="K36" s="187">
        <f t="shared" si="1"/>
        <v>261.9</v>
      </c>
      <c r="L36" s="188"/>
      <c r="N36" s="189"/>
      <c r="O36" s="190"/>
      <c r="P36" s="191"/>
      <c r="Q36" s="127"/>
      <c r="R36" s="189"/>
      <c r="U36" s="205"/>
      <c r="V36" s="171"/>
      <c r="AF36" s="127"/>
      <c r="AG36" s="127"/>
      <c r="XFB36" s="63"/>
    </row>
    <row r="37" s="128" customFormat="1" spans="1:16382">
      <c r="A37" s="156">
        <v>6</v>
      </c>
      <c r="B37" s="157" t="s">
        <v>288</v>
      </c>
      <c r="C37" s="158" t="s">
        <v>296</v>
      </c>
      <c r="D37" s="158">
        <v>120</v>
      </c>
      <c r="E37" s="158" t="s">
        <v>290</v>
      </c>
      <c r="F37" s="159">
        <f>D37/40</f>
        <v>3</v>
      </c>
      <c r="G37" s="158">
        <v>4</v>
      </c>
      <c r="H37" s="160">
        <f t="shared" si="2"/>
        <v>1.33333333333333</v>
      </c>
      <c r="I37" s="185">
        <f t="shared" si="3"/>
        <v>0.6</v>
      </c>
      <c r="J37" s="186">
        <v>1</v>
      </c>
      <c r="K37" s="187">
        <f t="shared" si="1"/>
        <v>432</v>
      </c>
      <c r="L37" s="188"/>
      <c r="N37" s="189"/>
      <c r="O37" s="190"/>
      <c r="P37" s="191"/>
      <c r="Q37" s="127"/>
      <c r="R37" s="189"/>
      <c r="U37" s="205"/>
      <c r="V37" s="171"/>
      <c r="AF37" s="127"/>
      <c r="AG37" s="127"/>
      <c r="XFB37" s="63"/>
    </row>
    <row r="38" s="63" customFormat="1" spans="1:33">
      <c r="A38" s="156">
        <v>7</v>
      </c>
      <c r="B38" s="157" t="s">
        <v>288</v>
      </c>
      <c r="C38" s="158" t="s">
        <v>297</v>
      </c>
      <c r="D38" s="158">
        <v>406</v>
      </c>
      <c r="E38" s="158" t="s">
        <v>290</v>
      </c>
      <c r="F38" s="159">
        <f>D38/(40*3)</f>
        <v>3.38333333333333</v>
      </c>
      <c r="G38" s="158">
        <v>3</v>
      </c>
      <c r="H38" s="160">
        <f t="shared" si="2"/>
        <v>0.886699507389163</v>
      </c>
      <c r="I38" s="185">
        <f t="shared" si="3"/>
        <v>1.2</v>
      </c>
      <c r="J38" s="186">
        <v>1</v>
      </c>
      <c r="K38" s="187">
        <f t="shared" si="1"/>
        <v>2923.2</v>
      </c>
      <c r="L38" s="73"/>
      <c r="N38" s="189"/>
      <c r="O38" s="189"/>
      <c r="P38" s="189"/>
      <c r="Q38" s="153"/>
      <c r="R38" s="189"/>
      <c r="AF38" s="153"/>
      <c r="AG38" s="153"/>
    </row>
    <row r="39" s="63" customFormat="1" spans="1:33">
      <c r="A39" s="156">
        <v>8</v>
      </c>
      <c r="B39" s="157" t="s">
        <v>288</v>
      </c>
      <c r="C39" s="158" t="s">
        <v>298</v>
      </c>
      <c r="D39" s="158">
        <v>5</v>
      </c>
      <c r="E39" s="158" t="s">
        <v>290</v>
      </c>
      <c r="F39" s="159">
        <f>D39/(40*3)</f>
        <v>0.0416666666666667</v>
      </c>
      <c r="G39" s="158">
        <v>1</v>
      </c>
      <c r="H39" s="160" t="s">
        <v>299</v>
      </c>
      <c r="I39" s="185">
        <v>1</v>
      </c>
      <c r="J39" s="186">
        <v>1</v>
      </c>
      <c r="K39" s="187">
        <f t="shared" si="1"/>
        <v>30</v>
      </c>
      <c r="L39" s="73"/>
      <c r="M39" s="189"/>
      <c r="N39" s="189"/>
      <c r="O39" s="189"/>
      <c r="P39" s="189"/>
      <c r="Q39" s="153"/>
      <c r="R39" s="189"/>
      <c r="AF39" s="153"/>
      <c r="AG39" s="153"/>
    </row>
    <row r="40" s="63" customFormat="1" spans="1:33">
      <c r="A40" s="156">
        <v>9</v>
      </c>
      <c r="B40" s="157" t="s">
        <v>288</v>
      </c>
      <c r="C40" s="158" t="s">
        <v>300</v>
      </c>
      <c r="D40" s="158">
        <v>195</v>
      </c>
      <c r="E40" s="158" t="s">
        <v>290</v>
      </c>
      <c r="F40" s="159">
        <f>D40/(40*2)</f>
        <v>2.4375</v>
      </c>
      <c r="G40" s="158">
        <v>3</v>
      </c>
      <c r="H40" s="160">
        <f t="shared" si="2"/>
        <v>1.23076923076923</v>
      </c>
      <c r="I40" s="185">
        <f t="shared" si="3"/>
        <v>0.8</v>
      </c>
      <c r="J40" s="186">
        <v>1</v>
      </c>
      <c r="K40" s="187">
        <f t="shared" si="1"/>
        <v>936</v>
      </c>
      <c r="L40" s="73"/>
      <c r="M40" s="189"/>
      <c r="N40" s="189"/>
      <c r="O40" s="172"/>
      <c r="P40" s="172"/>
      <c r="R40" s="172"/>
      <c r="AF40" s="153"/>
      <c r="AG40" s="153"/>
    </row>
    <row r="41" s="63" customFormat="1" spans="1:33">
      <c r="A41" s="156">
        <v>10</v>
      </c>
      <c r="B41" s="157" t="s">
        <v>288</v>
      </c>
      <c r="C41" s="161" t="s">
        <v>301</v>
      </c>
      <c r="D41" s="161" t="s">
        <v>302</v>
      </c>
      <c r="E41" s="161" t="s">
        <v>292</v>
      </c>
      <c r="F41" s="162" t="s">
        <v>299</v>
      </c>
      <c r="G41" s="161">
        <v>5</v>
      </c>
      <c r="H41" s="162" t="s">
        <v>299</v>
      </c>
      <c r="I41" s="162" t="s">
        <v>299</v>
      </c>
      <c r="J41" s="192" t="s">
        <v>303</v>
      </c>
      <c r="K41" s="187">
        <v>600</v>
      </c>
      <c r="L41" s="193"/>
      <c r="M41" s="153"/>
      <c r="N41" s="153"/>
      <c r="O41" s="172"/>
      <c r="P41" s="172"/>
      <c r="Q41" s="172"/>
      <c r="R41" s="172"/>
      <c r="S41" s="172"/>
      <c r="AF41" s="153"/>
      <c r="AG41" s="153"/>
    </row>
    <row r="42" s="63" customFormat="1" spans="1:33">
      <c r="A42" s="156">
        <v>11</v>
      </c>
      <c r="B42" s="157" t="s">
        <v>288</v>
      </c>
      <c r="C42" s="161" t="s">
        <v>304</v>
      </c>
      <c r="D42" s="161" t="s">
        <v>302</v>
      </c>
      <c r="E42" s="161" t="s">
        <v>292</v>
      </c>
      <c r="F42" s="162" t="s">
        <v>299</v>
      </c>
      <c r="G42" s="161">
        <v>5</v>
      </c>
      <c r="H42" s="162" t="s">
        <v>299</v>
      </c>
      <c r="I42" s="162" t="s">
        <v>299</v>
      </c>
      <c r="J42" s="192"/>
      <c r="K42" s="187">
        <v>600</v>
      </c>
      <c r="L42" s="193"/>
      <c r="M42" s="153"/>
      <c r="N42" s="153"/>
      <c r="O42" s="172"/>
      <c r="P42" s="172"/>
      <c r="Q42" s="172"/>
      <c r="R42" s="172"/>
      <c r="S42" s="172"/>
      <c r="AF42" s="153"/>
      <c r="AG42" s="153"/>
    </row>
    <row r="43" s="63" customFormat="1" spans="1:33">
      <c r="A43" s="156">
        <v>12</v>
      </c>
      <c r="B43" s="157" t="s">
        <v>288</v>
      </c>
      <c r="C43" s="161" t="s">
        <v>305</v>
      </c>
      <c r="D43" s="161" t="s">
        <v>302</v>
      </c>
      <c r="E43" s="161" t="s">
        <v>292</v>
      </c>
      <c r="F43" s="162" t="s">
        <v>299</v>
      </c>
      <c r="G43" s="161">
        <v>5</v>
      </c>
      <c r="H43" s="162" t="s">
        <v>299</v>
      </c>
      <c r="I43" s="162" t="s">
        <v>299</v>
      </c>
      <c r="J43" s="192"/>
      <c r="K43" s="187">
        <v>600</v>
      </c>
      <c r="L43" s="193"/>
      <c r="M43" s="153"/>
      <c r="N43" s="153"/>
      <c r="O43" s="172"/>
      <c r="P43" s="172"/>
      <c r="Q43" s="172"/>
      <c r="R43" s="172"/>
      <c r="S43" s="172"/>
      <c r="AF43" s="153"/>
      <c r="AG43" s="153"/>
    </row>
    <row r="44" s="63" customFormat="1" spans="1:33">
      <c r="A44" s="156">
        <v>13</v>
      </c>
      <c r="B44" s="157" t="s">
        <v>288</v>
      </c>
      <c r="C44" s="161" t="s">
        <v>306</v>
      </c>
      <c r="D44" s="161" t="s">
        <v>302</v>
      </c>
      <c r="E44" s="161" t="s">
        <v>292</v>
      </c>
      <c r="F44" s="161" t="s">
        <v>299</v>
      </c>
      <c r="G44" s="161">
        <v>5</v>
      </c>
      <c r="H44" s="162" t="s">
        <v>299</v>
      </c>
      <c r="I44" s="162" t="s">
        <v>299</v>
      </c>
      <c r="J44" s="192"/>
      <c r="K44" s="187">
        <v>600</v>
      </c>
      <c r="L44" s="193"/>
      <c r="M44" s="153"/>
      <c r="N44" s="153"/>
      <c r="O44" s="172"/>
      <c r="P44" s="172"/>
      <c r="Q44" s="172"/>
      <c r="R44" s="172"/>
      <c r="S44" s="172"/>
      <c r="AF44" s="153"/>
      <c r="AG44" s="153"/>
    </row>
    <row r="45" s="63" customFormat="1" ht="31.5" spans="1:33">
      <c r="A45" s="156">
        <v>14</v>
      </c>
      <c r="B45" s="157" t="s">
        <v>288</v>
      </c>
      <c r="C45" s="163" t="s">
        <v>307</v>
      </c>
      <c r="D45" s="161" t="s">
        <v>302</v>
      </c>
      <c r="E45" s="161" t="s">
        <v>292</v>
      </c>
      <c r="F45" s="161" t="s">
        <v>299</v>
      </c>
      <c r="G45" s="161">
        <v>5</v>
      </c>
      <c r="H45" s="162" t="s">
        <v>299</v>
      </c>
      <c r="I45" s="162" t="s">
        <v>299</v>
      </c>
      <c r="J45" s="192"/>
      <c r="K45" s="187">
        <v>600</v>
      </c>
      <c r="L45" s="193"/>
      <c r="M45" s="153"/>
      <c r="N45" s="153"/>
      <c r="O45" s="172"/>
      <c r="P45" s="172"/>
      <c r="Q45" s="172"/>
      <c r="R45" s="172"/>
      <c r="S45" s="172"/>
      <c r="AF45" s="153"/>
      <c r="AG45" s="153"/>
    </row>
    <row r="46" s="63" customFormat="1" ht="31.5" spans="1:33">
      <c r="A46" s="156">
        <v>15</v>
      </c>
      <c r="B46" s="157" t="s">
        <v>288</v>
      </c>
      <c r="C46" s="163" t="s">
        <v>308</v>
      </c>
      <c r="D46" s="161" t="s">
        <v>302</v>
      </c>
      <c r="E46" s="161" t="s">
        <v>292</v>
      </c>
      <c r="F46" s="161" t="s">
        <v>299</v>
      </c>
      <c r="G46" s="161">
        <v>7</v>
      </c>
      <c r="H46" s="162" t="s">
        <v>299</v>
      </c>
      <c r="I46" s="162" t="s">
        <v>299</v>
      </c>
      <c r="J46" s="192"/>
      <c r="K46" s="187">
        <v>600</v>
      </c>
      <c r="L46" s="193"/>
      <c r="N46" s="153"/>
      <c r="O46" s="172"/>
      <c r="P46" s="172"/>
      <c r="Q46" s="172"/>
      <c r="R46" s="172"/>
      <c r="S46" s="172"/>
      <c r="AF46" s="153"/>
      <c r="AG46" s="153"/>
    </row>
    <row r="47" s="63" customFormat="1" spans="1:33">
      <c r="A47" s="156">
        <v>16</v>
      </c>
      <c r="B47" s="157" t="s">
        <v>288</v>
      </c>
      <c r="C47" s="161" t="s">
        <v>309</v>
      </c>
      <c r="D47" s="161" t="s">
        <v>302</v>
      </c>
      <c r="E47" s="161" t="s">
        <v>292</v>
      </c>
      <c r="F47" s="162" t="s">
        <v>299</v>
      </c>
      <c r="G47" s="161">
        <v>5</v>
      </c>
      <c r="H47" s="162" t="s">
        <v>299</v>
      </c>
      <c r="I47" s="162" t="s">
        <v>299</v>
      </c>
      <c r="J47" s="192"/>
      <c r="K47" s="187">
        <v>600</v>
      </c>
      <c r="L47" s="193"/>
      <c r="M47" s="153"/>
      <c r="N47" s="153"/>
      <c r="O47" s="172"/>
      <c r="P47" s="172"/>
      <c r="Q47" s="172"/>
      <c r="R47" s="172"/>
      <c r="S47" s="172"/>
      <c r="AF47" s="153"/>
      <c r="AG47" s="153"/>
    </row>
    <row r="48" s="63" customFormat="1" spans="1:33">
      <c r="A48" s="156">
        <v>17</v>
      </c>
      <c r="B48" s="157" t="s">
        <v>288</v>
      </c>
      <c r="C48" s="164" t="s">
        <v>310</v>
      </c>
      <c r="D48" s="164">
        <v>113</v>
      </c>
      <c r="E48" s="164" t="s">
        <v>292</v>
      </c>
      <c r="F48" s="165">
        <f>D48/20</f>
        <v>5.65</v>
      </c>
      <c r="G48" s="164">
        <v>3</v>
      </c>
      <c r="H48" s="166">
        <f>G48/F48</f>
        <v>0.530973451327434</v>
      </c>
      <c r="I48" s="194">
        <f>_xlfn.IFS(H48&gt;1.5,0.5,1.25&lt;=H48,0.6,1&lt;H48,0.8,1=H48,1,0.75&lt;=H48,1.2,0.5&lt;=H48,1.4,H48&lt;=0.5,1.5)</f>
        <v>1.4</v>
      </c>
      <c r="J48" s="195">
        <v>1</v>
      </c>
      <c r="K48" s="187">
        <f>D48*12*I48*J48+D48*4</f>
        <v>2350.4</v>
      </c>
      <c r="L48" s="193"/>
      <c r="M48" s="153"/>
      <c r="N48" s="153"/>
      <c r="O48" s="172"/>
      <c r="P48" s="172"/>
      <c r="Q48" s="172"/>
      <c r="R48" s="172"/>
      <c r="S48" s="172"/>
      <c r="AF48" s="153"/>
      <c r="AG48" s="153"/>
    </row>
    <row r="49" s="63" customFormat="1" spans="1:33">
      <c r="A49" s="156">
        <v>18</v>
      </c>
      <c r="B49" s="157" t="s">
        <v>288</v>
      </c>
      <c r="C49" s="164" t="s">
        <v>311</v>
      </c>
      <c r="D49" s="164">
        <v>78</v>
      </c>
      <c r="E49" s="164" t="s">
        <v>292</v>
      </c>
      <c r="F49" s="165">
        <f>D49/(20*2)</f>
        <v>1.95</v>
      </c>
      <c r="G49" s="164">
        <v>2</v>
      </c>
      <c r="H49" s="166">
        <f>G49/F49</f>
        <v>1.02564102564103</v>
      </c>
      <c r="I49" s="194">
        <f>_xlfn.IFS(H49&gt;1.5,0.5,1.25&lt;=H49,0.6,1&lt;H49,0.8,1=H49,1,0.75&lt;=H49,1.2,0.5&lt;=H49,1.4,H49&lt;=0.5,1.5)</f>
        <v>0.8</v>
      </c>
      <c r="J49" s="195">
        <v>1</v>
      </c>
      <c r="K49" s="187">
        <f>D49*12*I49*J49+D49*4</f>
        <v>1060.8</v>
      </c>
      <c r="L49" s="193"/>
      <c r="M49" s="153"/>
      <c r="N49" s="153"/>
      <c r="O49" s="172"/>
      <c r="P49" s="172"/>
      <c r="Q49" s="172"/>
      <c r="R49" s="172"/>
      <c r="S49" s="172"/>
      <c r="AF49" s="153"/>
      <c r="AG49" s="153"/>
    </row>
    <row r="50" s="63" customFormat="1" spans="1:33">
      <c r="A50" s="156">
        <v>19</v>
      </c>
      <c r="B50" s="157" t="s">
        <v>288</v>
      </c>
      <c r="C50" s="164" t="s">
        <v>301</v>
      </c>
      <c r="D50" s="164">
        <v>341</v>
      </c>
      <c r="E50" s="164" t="s">
        <v>290</v>
      </c>
      <c r="F50" s="165">
        <f>D50/(40*2)</f>
        <v>4.2625</v>
      </c>
      <c r="G50" s="164">
        <v>3</v>
      </c>
      <c r="H50" s="166">
        <f>G50/F50</f>
        <v>0.703812316715542</v>
      </c>
      <c r="I50" s="194">
        <f>_xlfn.IFS(H50&gt;1.5,0.5,1.25&lt;=H50,0.6,1&lt;H50,0.8,1=H50,1,0.75&lt;=H50,1.2,0.5&lt;=H50,1.4,H50&lt;=0.5,1.5)</f>
        <v>1.4</v>
      </c>
      <c r="J50" s="195">
        <v>1</v>
      </c>
      <c r="K50" s="187">
        <f>D50*6*I50*J50</f>
        <v>2864.4</v>
      </c>
      <c r="L50" s="193"/>
      <c r="M50" s="63"/>
      <c r="N50" s="153"/>
      <c r="O50" s="172"/>
      <c r="P50" s="172"/>
      <c r="Q50" s="172"/>
      <c r="R50" s="172"/>
      <c r="S50" s="172"/>
      <c r="AF50" s="153"/>
      <c r="AG50" s="153"/>
    </row>
    <row r="51" s="63" customFormat="1" ht="47.25" spans="1:33">
      <c r="A51" s="156">
        <v>20</v>
      </c>
      <c r="B51" s="167" t="s">
        <v>288</v>
      </c>
      <c r="C51" s="168" t="s">
        <v>312</v>
      </c>
      <c r="D51" s="168" t="s">
        <v>313</v>
      </c>
      <c r="E51" s="169" t="s">
        <v>292</v>
      </c>
      <c r="F51" s="170" t="s">
        <v>299</v>
      </c>
      <c r="G51" s="169">
        <v>7</v>
      </c>
      <c r="H51" s="170" t="s">
        <v>299</v>
      </c>
      <c r="I51" s="170" t="s">
        <v>299</v>
      </c>
      <c r="J51" s="168" t="s">
        <v>314</v>
      </c>
      <c r="K51" s="187">
        <f>(32000-19078.785)*0.03</f>
        <v>387.63645</v>
      </c>
      <c r="L51" s="73" t="s">
        <v>315</v>
      </c>
      <c r="N51" s="153"/>
      <c r="O51" s="172"/>
      <c r="P51" s="172"/>
      <c r="Q51" s="172"/>
      <c r="R51" s="172"/>
      <c r="S51" s="172"/>
      <c r="AF51" s="153"/>
      <c r="AG51" s="153"/>
    </row>
    <row r="52" s="63" customFormat="1" ht="31.5" spans="1:33">
      <c r="A52" s="156">
        <v>21</v>
      </c>
      <c r="B52" s="167" t="s">
        <v>288</v>
      </c>
      <c r="C52" s="168" t="s">
        <v>316</v>
      </c>
      <c r="D52" s="168" t="s">
        <v>317</v>
      </c>
      <c r="E52" s="169" t="s">
        <v>292</v>
      </c>
      <c r="F52" s="170" t="s">
        <v>299</v>
      </c>
      <c r="G52" s="169">
        <v>3</v>
      </c>
      <c r="H52" s="170" t="s">
        <v>299</v>
      </c>
      <c r="I52" s="170" t="s">
        <v>299</v>
      </c>
      <c r="J52" s="168" t="s">
        <v>318</v>
      </c>
      <c r="K52" s="196">
        <f>(11496.42-6993.15)*0.03</f>
        <v>135.0981</v>
      </c>
      <c r="L52" s="193" t="s">
        <v>319</v>
      </c>
      <c r="M52" s="153"/>
      <c r="N52" s="153"/>
      <c r="O52" s="172"/>
      <c r="P52" s="172"/>
      <c r="Q52" s="172"/>
      <c r="R52" s="172"/>
      <c r="S52" s="172"/>
      <c r="AF52" s="153"/>
      <c r="AG52" s="153"/>
    </row>
    <row r="53" s="63" customFormat="1" ht="31.5" spans="1:33">
      <c r="A53" s="156">
        <v>22</v>
      </c>
      <c r="B53" s="167" t="s">
        <v>288</v>
      </c>
      <c r="C53" s="168" t="s">
        <v>320</v>
      </c>
      <c r="D53" s="169" t="s">
        <v>321</v>
      </c>
      <c r="E53" s="169" t="s">
        <v>292</v>
      </c>
      <c r="F53" s="170" t="s">
        <v>299</v>
      </c>
      <c r="G53" s="169">
        <v>5</v>
      </c>
      <c r="H53" s="170" t="s">
        <v>299</v>
      </c>
      <c r="I53" s="170" t="s">
        <v>299</v>
      </c>
      <c r="J53" s="168" t="s">
        <v>322</v>
      </c>
      <c r="K53" s="73">
        <f>2708*0.03</f>
        <v>81.24</v>
      </c>
      <c r="L53" s="197" t="s">
        <v>323</v>
      </c>
      <c r="M53" s="153"/>
      <c r="N53" s="153"/>
      <c r="O53" s="172"/>
      <c r="P53" s="172"/>
      <c r="Q53" s="172"/>
      <c r="R53" s="172"/>
      <c r="S53" s="172"/>
      <c r="AF53" s="153"/>
      <c r="AG53" s="153"/>
    </row>
    <row r="54" s="129" customFormat="1" spans="1:33">
      <c r="A54" s="171"/>
      <c r="B54" s="172"/>
      <c r="C54" s="172"/>
      <c r="D54" s="172"/>
      <c r="E54" s="172"/>
      <c r="F54" s="172"/>
      <c r="G54" s="63"/>
      <c r="I54" s="153"/>
      <c r="J54" s="153"/>
      <c r="K54" s="198">
        <f>SUM(K32:K53)</f>
        <v>18088.44455</v>
      </c>
      <c r="L54" s="199"/>
      <c r="M54" s="153"/>
      <c r="N54" s="153"/>
      <c r="AF54" s="206"/>
      <c r="AG54" s="206"/>
    </row>
    <row r="55" s="129" customFormat="1" spans="1:33">
      <c r="A55" s="171"/>
      <c r="B55" s="172"/>
      <c r="C55" s="172"/>
      <c r="D55" s="172"/>
      <c r="E55" s="172"/>
      <c r="F55" s="172"/>
      <c r="G55" s="173" t="s">
        <v>324</v>
      </c>
      <c r="H55" s="173"/>
      <c r="I55" s="173"/>
      <c r="J55" s="173"/>
      <c r="K55" s="173"/>
      <c r="L55" s="199"/>
      <c r="M55" s="153"/>
      <c r="N55" s="153"/>
      <c r="AF55" s="206"/>
      <c r="AG55" s="206"/>
    </row>
    <row r="56" s="129" customFormat="1" ht="21" customHeight="1" spans="1:33">
      <c r="A56" s="171"/>
      <c r="B56" s="174" t="s">
        <v>325</v>
      </c>
      <c r="C56" s="175"/>
      <c r="D56" s="175"/>
      <c r="E56" s="176"/>
      <c r="F56" s="177"/>
      <c r="G56" s="152" t="s">
        <v>326</v>
      </c>
      <c r="H56" s="152" t="s">
        <v>327</v>
      </c>
      <c r="I56" s="152" t="s">
        <v>328</v>
      </c>
      <c r="J56" s="152" t="s">
        <v>329</v>
      </c>
      <c r="K56" s="152" t="s">
        <v>330</v>
      </c>
      <c r="L56" s="200"/>
      <c r="M56" s="153"/>
      <c r="N56" s="153"/>
      <c r="AF56" s="206"/>
      <c r="AG56" s="206"/>
    </row>
    <row r="57" spans="2:14">
      <c r="B57" s="152" t="s">
        <v>4</v>
      </c>
      <c r="C57" s="152" t="s">
        <v>331</v>
      </c>
      <c r="D57" s="152" t="s">
        <v>332</v>
      </c>
      <c r="E57" s="152" t="s">
        <v>222</v>
      </c>
      <c r="G57" s="152" t="s">
        <v>68</v>
      </c>
      <c r="H57" s="152">
        <v>1</v>
      </c>
      <c r="I57" s="201">
        <v>0.961538461538462</v>
      </c>
      <c r="J57" s="152">
        <v>5</v>
      </c>
      <c r="K57" s="152">
        <v>5</v>
      </c>
      <c r="L57" s="202"/>
      <c r="M57" s="153"/>
      <c r="N57" s="203"/>
    </row>
    <row r="58" spans="2:14">
      <c r="B58" s="152" t="s">
        <v>120</v>
      </c>
      <c r="C58" s="178">
        <v>58.0827272727273</v>
      </c>
      <c r="D58" s="178"/>
      <c r="E58" s="179">
        <f>C58+D58</f>
        <v>58.0827272727273</v>
      </c>
      <c r="G58" s="152" t="s">
        <v>71</v>
      </c>
      <c r="H58" s="152">
        <v>26</v>
      </c>
      <c r="I58" s="201">
        <v>0</v>
      </c>
      <c r="J58" s="152">
        <v>5</v>
      </c>
      <c r="K58" s="152">
        <v>130</v>
      </c>
      <c r="L58" s="202"/>
      <c r="M58" s="153"/>
      <c r="N58" s="203"/>
    </row>
    <row r="59" spans="2:14">
      <c r="B59" s="152" t="s">
        <v>114</v>
      </c>
      <c r="C59" s="178">
        <v>406.579090909091</v>
      </c>
      <c r="D59" s="178"/>
      <c r="E59" s="179">
        <f t="shared" ref="E59:E76" si="4">C59+D59</f>
        <v>406.579090909091</v>
      </c>
      <c r="G59" s="152" t="s">
        <v>333</v>
      </c>
      <c r="H59" s="152">
        <v>0</v>
      </c>
      <c r="I59" s="201">
        <v>1</v>
      </c>
      <c r="J59" s="152">
        <v>5</v>
      </c>
      <c r="K59" s="152">
        <v>0</v>
      </c>
      <c r="L59" s="202"/>
      <c r="M59" s="153"/>
      <c r="N59" s="203"/>
    </row>
    <row r="60" spans="2:14">
      <c r="B60" s="152" t="s">
        <v>90</v>
      </c>
      <c r="C60" s="178">
        <v>406.579090909091</v>
      </c>
      <c r="D60" s="178"/>
      <c r="E60" s="179">
        <f t="shared" si="4"/>
        <v>406.579090909091</v>
      </c>
      <c r="G60" s="152" t="s">
        <v>212</v>
      </c>
      <c r="H60" s="152">
        <v>2</v>
      </c>
      <c r="I60" s="201">
        <v>0.923076923076923</v>
      </c>
      <c r="J60" s="152">
        <v>5</v>
      </c>
      <c r="K60" s="152">
        <v>10</v>
      </c>
      <c r="L60" s="202"/>
      <c r="M60" s="153"/>
      <c r="N60" s="203"/>
    </row>
    <row r="61" spans="2:14">
      <c r="B61" s="152" t="s">
        <v>117</v>
      </c>
      <c r="C61" s="178">
        <v>406.579090909091</v>
      </c>
      <c r="D61" s="178"/>
      <c r="E61" s="179">
        <f t="shared" si="4"/>
        <v>406.579090909091</v>
      </c>
      <c r="G61" s="152" t="s">
        <v>75</v>
      </c>
      <c r="H61" s="152">
        <v>9</v>
      </c>
      <c r="I61" s="201">
        <v>0.653846153846154</v>
      </c>
      <c r="J61" s="152">
        <v>5</v>
      </c>
      <c r="K61" s="152">
        <v>45</v>
      </c>
      <c r="L61" s="202"/>
      <c r="M61" s="153"/>
      <c r="N61" s="203"/>
    </row>
    <row r="62" spans="2:14">
      <c r="B62" s="152" t="s">
        <v>334</v>
      </c>
      <c r="C62" s="178">
        <v>767.583333333333</v>
      </c>
      <c r="D62" s="178"/>
      <c r="E62" s="179">
        <f t="shared" si="4"/>
        <v>767.583333333333</v>
      </c>
      <c r="G62" s="152" t="s">
        <v>81</v>
      </c>
      <c r="H62" s="152">
        <v>7</v>
      </c>
      <c r="I62" s="201">
        <v>0.730769230769231</v>
      </c>
      <c r="J62" s="152">
        <v>5</v>
      </c>
      <c r="K62" s="152">
        <v>35</v>
      </c>
      <c r="L62" s="202"/>
      <c r="M62" s="153"/>
      <c r="N62" s="203"/>
    </row>
    <row r="63" spans="2:14">
      <c r="B63" s="152" t="s">
        <v>71</v>
      </c>
      <c r="C63" s="178">
        <v>260.6175</v>
      </c>
      <c r="D63" s="178">
        <v>780</v>
      </c>
      <c r="E63" s="179">
        <f t="shared" si="4"/>
        <v>1040.6175</v>
      </c>
      <c r="G63" s="152" t="s">
        <v>78</v>
      </c>
      <c r="H63" s="152">
        <v>15</v>
      </c>
      <c r="I63" s="201">
        <v>0.423076923076923</v>
      </c>
      <c r="J63" s="152">
        <v>5</v>
      </c>
      <c r="K63" s="152">
        <v>75</v>
      </c>
      <c r="L63" s="202"/>
      <c r="M63" s="153"/>
      <c r="N63" s="203"/>
    </row>
    <row r="64" spans="2:14">
      <c r="B64" s="152" t="s">
        <v>335</v>
      </c>
      <c r="C64" s="178">
        <v>140.3325</v>
      </c>
      <c r="D64" s="178">
        <v>420</v>
      </c>
      <c r="E64" s="179">
        <f t="shared" si="4"/>
        <v>560.3325</v>
      </c>
      <c r="G64" s="152" t="s">
        <v>336</v>
      </c>
      <c r="H64" s="152">
        <v>5</v>
      </c>
      <c r="I64" s="201">
        <v>0.807692307692308</v>
      </c>
      <c r="J64" s="152">
        <v>5</v>
      </c>
      <c r="K64" s="152">
        <v>25</v>
      </c>
      <c r="L64" s="202"/>
      <c r="M64" s="153"/>
      <c r="N64" s="203"/>
    </row>
    <row r="65" spans="2:14">
      <c r="B65" s="152" t="s">
        <v>105</v>
      </c>
      <c r="C65" s="178">
        <v>110.366666666667</v>
      </c>
      <c r="D65" s="178">
        <v>2950.4</v>
      </c>
      <c r="E65" s="179">
        <f t="shared" si="4"/>
        <v>3060.76666666667</v>
      </c>
      <c r="G65" s="152" t="s">
        <v>337</v>
      </c>
      <c r="H65" s="152">
        <v>4</v>
      </c>
      <c r="I65" s="201">
        <v>0.846153846153846</v>
      </c>
      <c r="J65" s="152">
        <v>5</v>
      </c>
      <c r="K65" s="152">
        <v>20</v>
      </c>
      <c r="L65" s="202"/>
      <c r="M65" s="153"/>
      <c r="N65" s="203"/>
    </row>
    <row r="66" spans="2:14">
      <c r="B66" s="152" t="s">
        <v>81</v>
      </c>
      <c r="C66" s="178">
        <v>130.95</v>
      </c>
      <c r="D66" s="178"/>
      <c r="E66" s="179">
        <f t="shared" si="4"/>
        <v>130.95</v>
      </c>
      <c r="G66" s="152" t="s">
        <v>338</v>
      </c>
      <c r="H66" s="152">
        <v>4</v>
      </c>
      <c r="I66" s="201">
        <v>0.846153846153846</v>
      </c>
      <c r="J66" s="152">
        <v>5</v>
      </c>
      <c r="K66" s="152">
        <v>20</v>
      </c>
      <c r="L66" s="202"/>
      <c r="M66" s="153"/>
      <c r="N66" s="203"/>
    </row>
    <row r="67" spans="2:14">
      <c r="B67" s="152" t="s">
        <v>75</v>
      </c>
      <c r="C67" s="178">
        <v>1436.4</v>
      </c>
      <c r="D67" s="178"/>
      <c r="E67" s="179">
        <f t="shared" si="4"/>
        <v>1436.4</v>
      </c>
      <c r="G67" s="152" t="s">
        <v>93</v>
      </c>
      <c r="H67" s="152">
        <v>3</v>
      </c>
      <c r="I67" s="201">
        <v>0.884615384615385</v>
      </c>
      <c r="J67" s="152">
        <v>5</v>
      </c>
      <c r="K67" s="152">
        <v>15</v>
      </c>
      <c r="L67" s="202"/>
      <c r="M67" s="153"/>
      <c r="N67" s="203"/>
    </row>
    <row r="68" spans="2:14">
      <c r="B68" s="152" t="s">
        <v>336</v>
      </c>
      <c r="C68" s="178">
        <v>974.4</v>
      </c>
      <c r="D68" s="178"/>
      <c r="E68" s="179">
        <f t="shared" si="4"/>
        <v>974.4</v>
      </c>
      <c r="G68" s="152" t="s">
        <v>90</v>
      </c>
      <c r="H68" s="152">
        <v>2</v>
      </c>
      <c r="I68" s="201">
        <v>0.923076923076923</v>
      </c>
      <c r="J68" s="152">
        <v>5</v>
      </c>
      <c r="K68" s="152">
        <v>10</v>
      </c>
      <c r="L68" s="202"/>
      <c r="M68" s="153"/>
      <c r="N68" s="203"/>
    </row>
    <row r="69" spans="2:14">
      <c r="B69" s="152" t="s">
        <v>338</v>
      </c>
      <c r="C69" s="178">
        <v>974.4</v>
      </c>
      <c r="D69" s="178"/>
      <c r="E69" s="179">
        <f t="shared" si="4"/>
        <v>974.4</v>
      </c>
      <c r="G69" s="152" t="s">
        <v>339</v>
      </c>
      <c r="H69" s="152">
        <v>1</v>
      </c>
      <c r="I69" s="201">
        <v>0.961538461538462</v>
      </c>
      <c r="J69" s="152">
        <v>5</v>
      </c>
      <c r="K69" s="152">
        <v>5</v>
      </c>
      <c r="L69" s="202"/>
      <c r="M69" s="153"/>
      <c r="N69" s="203"/>
    </row>
    <row r="70" spans="2:14">
      <c r="B70" s="152" t="s">
        <v>340</v>
      </c>
      <c r="C70" s="178">
        <v>561.6</v>
      </c>
      <c r="D70" s="178"/>
      <c r="E70" s="179">
        <f t="shared" si="4"/>
        <v>561.6</v>
      </c>
      <c r="G70" s="152" t="s">
        <v>340</v>
      </c>
      <c r="H70" s="152">
        <v>3</v>
      </c>
      <c r="I70" s="201">
        <v>0.884615384615385</v>
      </c>
      <c r="J70" s="152">
        <v>5</v>
      </c>
      <c r="K70" s="152">
        <v>15</v>
      </c>
      <c r="L70" s="202"/>
      <c r="M70" s="153"/>
      <c r="N70" s="203"/>
    </row>
    <row r="71" spans="2:14">
      <c r="B71" s="152" t="s">
        <v>339</v>
      </c>
      <c r="C71" s="178">
        <v>93.6000000000001</v>
      </c>
      <c r="D71" s="178"/>
      <c r="E71" s="179">
        <f t="shared" si="4"/>
        <v>93.6000000000001</v>
      </c>
      <c r="G71" s="152" t="s">
        <v>97</v>
      </c>
      <c r="H71" s="152">
        <v>16</v>
      </c>
      <c r="I71" s="201">
        <v>0.384615384615385</v>
      </c>
      <c r="J71" s="152">
        <v>5</v>
      </c>
      <c r="K71" s="152">
        <v>80</v>
      </c>
      <c r="L71" s="202"/>
      <c r="M71" s="153"/>
      <c r="N71" s="203"/>
    </row>
    <row r="72" spans="2:14">
      <c r="B72" s="152" t="s">
        <v>337</v>
      </c>
      <c r="C72" s="178">
        <v>280.8</v>
      </c>
      <c r="D72" s="178"/>
      <c r="E72" s="179">
        <f t="shared" si="4"/>
        <v>280.8</v>
      </c>
      <c r="G72" s="152" t="s">
        <v>105</v>
      </c>
      <c r="H72" s="152">
        <v>24</v>
      </c>
      <c r="I72" s="201">
        <v>0.0769230769230769</v>
      </c>
      <c r="J72" s="152">
        <v>5</v>
      </c>
      <c r="K72" s="152">
        <v>120</v>
      </c>
      <c r="L72" s="202"/>
      <c r="M72" s="153"/>
      <c r="N72" s="203"/>
    </row>
    <row r="73" spans="2:14">
      <c r="B73" s="152" t="s">
        <v>107</v>
      </c>
      <c r="C73" s="178"/>
      <c r="D73" s="178">
        <v>1732.2</v>
      </c>
      <c r="E73" s="179">
        <f t="shared" si="4"/>
        <v>1732.2</v>
      </c>
      <c r="G73" s="152" t="s">
        <v>334</v>
      </c>
      <c r="H73" s="152">
        <v>11</v>
      </c>
      <c r="I73" s="201">
        <v>0.576923076923077</v>
      </c>
      <c r="J73" s="152">
        <v>5</v>
      </c>
      <c r="K73" s="152">
        <v>55</v>
      </c>
      <c r="L73" s="202"/>
      <c r="M73" s="153"/>
      <c r="N73" s="203"/>
    </row>
    <row r="74" spans="2:14">
      <c r="B74" s="152" t="s">
        <v>103</v>
      </c>
      <c r="C74" s="178"/>
      <c r="D74" s="178">
        <v>1732.2</v>
      </c>
      <c r="E74" s="179">
        <f t="shared" si="4"/>
        <v>1732.2</v>
      </c>
      <c r="G74" s="152" t="s">
        <v>103</v>
      </c>
      <c r="H74" s="152">
        <v>4</v>
      </c>
      <c r="I74" s="201">
        <v>0.846153846153846</v>
      </c>
      <c r="J74" s="152">
        <v>5</v>
      </c>
      <c r="K74" s="152">
        <v>20</v>
      </c>
      <c r="L74" s="202"/>
      <c r="M74" s="153"/>
      <c r="N74" s="203"/>
    </row>
    <row r="75" spans="2:14">
      <c r="B75" s="152" t="s">
        <v>68</v>
      </c>
      <c r="C75" s="178"/>
      <c r="D75" s="178">
        <v>1905.6260025</v>
      </c>
      <c r="E75" s="179">
        <f t="shared" si="4"/>
        <v>1905.6260025</v>
      </c>
      <c r="G75" s="152" t="s">
        <v>107</v>
      </c>
      <c r="H75" s="152">
        <v>8</v>
      </c>
      <c r="I75" s="201">
        <v>0.692307692307692</v>
      </c>
      <c r="J75" s="152">
        <v>5</v>
      </c>
      <c r="K75" s="152">
        <v>40</v>
      </c>
      <c r="L75" s="202"/>
      <c r="M75" s="153"/>
      <c r="N75" s="203"/>
    </row>
    <row r="76" spans="2:14">
      <c r="B76" s="152" t="s">
        <v>97</v>
      </c>
      <c r="C76" s="178"/>
      <c r="D76" s="178">
        <v>1559.1485475</v>
      </c>
      <c r="E76" s="179">
        <f t="shared" si="4"/>
        <v>1559.1485475</v>
      </c>
      <c r="G76" s="152" t="s">
        <v>341</v>
      </c>
      <c r="H76" s="152">
        <v>0</v>
      </c>
      <c r="I76" s="201">
        <v>1</v>
      </c>
      <c r="J76" s="152">
        <v>5</v>
      </c>
      <c r="K76" s="152">
        <v>0</v>
      </c>
      <c r="L76" s="202"/>
      <c r="M76" s="153"/>
      <c r="N76" s="203"/>
    </row>
    <row r="77" spans="2:14">
      <c r="B77" s="152" t="s">
        <v>222</v>
      </c>
      <c r="C77" s="215">
        <f>SUM(C58:C76)</f>
        <v>7008.87</v>
      </c>
      <c r="D77" s="215">
        <f>SUM(D58:D76)</f>
        <v>11079.57455</v>
      </c>
      <c r="E77" s="215">
        <f>SUM(E58:E76)</f>
        <v>18088.44455</v>
      </c>
      <c r="G77" s="152" t="s">
        <v>114</v>
      </c>
      <c r="H77" s="152">
        <v>0</v>
      </c>
      <c r="I77" s="201">
        <v>1</v>
      </c>
      <c r="J77" s="152">
        <v>5</v>
      </c>
      <c r="K77" s="152">
        <v>0</v>
      </c>
      <c r="L77" s="202"/>
      <c r="M77" s="153"/>
      <c r="N77" s="203"/>
    </row>
    <row r="78" customFormat="1" spans="2:41">
      <c r="B78" s="209"/>
      <c r="C78" s="216"/>
      <c r="D78" s="216"/>
      <c r="E78" s="216"/>
      <c r="G78" s="152" t="s">
        <v>110</v>
      </c>
      <c r="H78" s="152">
        <v>0</v>
      </c>
      <c r="I78" s="201">
        <v>1</v>
      </c>
      <c r="J78" s="152">
        <v>5</v>
      </c>
      <c r="K78" s="152">
        <v>0</v>
      </c>
      <c r="L78" s="202"/>
      <c r="M78" s="153"/>
      <c r="N78" s="203"/>
      <c r="AF78" s="131"/>
      <c r="AG78" s="131"/>
      <c r="AK78" s="132"/>
      <c r="AL78" s="132"/>
      <c r="AO78" s="132"/>
    </row>
    <row r="79" customFormat="1" spans="2:41">
      <c r="B79" s="209"/>
      <c r="C79" s="216"/>
      <c r="D79" s="216"/>
      <c r="E79" s="216"/>
      <c r="F79"/>
      <c r="G79" s="152" t="s">
        <v>117</v>
      </c>
      <c r="H79" s="152"/>
      <c r="I79" s="201"/>
      <c r="J79" s="152"/>
      <c r="K79" s="152"/>
      <c r="L79" s="202"/>
      <c r="M79" s="153"/>
      <c r="N79" s="203"/>
      <c r="AF79" s="131"/>
      <c r="AG79" s="131"/>
      <c r="AK79" s="132"/>
      <c r="AL79" s="132"/>
      <c r="AO79" s="132"/>
    </row>
    <row r="80" customFormat="1" spans="2:41">
      <c r="B80" s="209"/>
      <c r="C80" s="216"/>
      <c r="D80" s="216"/>
      <c r="E80" s="216"/>
      <c r="F80"/>
      <c r="G80" s="152" t="s">
        <v>120</v>
      </c>
      <c r="H80" s="152"/>
      <c r="I80" s="201"/>
      <c r="J80" s="152"/>
      <c r="K80" s="152"/>
      <c r="L80" s="202"/>
      <c r="M80" s="153"/>
      <c r="N80" s="203"/>
      <c r="AF80" s="131"/>
      <c r="AG80" s="131"/>
      <c r="AK80" s="132"/>
      <c r="AL80" s="132"/>
      <c r="AO80" s="132"/>
    </row>
    <row r="81" customFormat="1" spans="2:41">
      <c r="B81" s="209"/>
      <c r="C81" s="216"/>
      <c r="D81" s="216"/>
      <c r="E81" s="216"/>
      <c r="F81"/>
      <c r="G81" s="152" t="s">
        <v>222</v>
      </c>
      <c r="H81" s="152"/>
      <c r="I81" s="201"/>
      <c r="J81" s="152"/>
      <c r="K81" s="152">
        <f>SUM(K57:K80)</f>
        <v>725</v>
      </c>
      <c r="L81" s="202"/>
      <c r="M81" s="153"/>
      <c r="N81" s="203"/>
      <c r="AF81" s="131"/>
      <c r="AG81" s="131"/>
      <c r="AK81" s="132"/>
      <c r="AL81" s="132"/>
      <c r="AO81" s="132"/>
    </row>
    <row r="82" ht="18" spans="1:14">
      <c r="A82" s="217" t="s">
        <v>342</v>
      </c>
      <c r="B82" s="217"/>
      <c r="C82" s="217"/>
      <c r="D82" s="217"/>
      <c r="E82" s="217"/>
      <c r="F82" s="217"/>
      <c r="G82" s="217"/>
      <c r="H82" s="217"/>
      <c r="I82" s="217"/>
      <c r="J82" s="217"/>
      <c r="K82" s="217"/>
      <c r="L82" s="202"/>
      <c r="M82" s="153"/>
      <c r="N82" s="203"/>
    </row>
    <row r="83" spans="1:15">
      <c r="A83" s="152" t="s">
        <v>343</v>
      </c>
      <c r="B83" s="152" t="s">
        <v>344</v>
      </c>
      <c r="C83" s="152" t="s">
        <v>345</v>
      </c>
      <c r="D83" s="152" t="s">
        <v>346</v>
      </c>
      <c r="E83" s="152" t="s">
        <v>347</v>
      </c>
      <c r="F83" s="152" t="s">
        <v>348</v>
      </c>
      <c r="G83" s="152" t="s">
        <v>349</v>
      </c>
      <c r="H83" s="152" t="s">
        <v>350</v>
      </c>
      <c r="I83" s="152" t="s">
        <v>351</v>
      </c>
      <c r="J83" s="152" t="s">
        <v>222</v>
      </c>
      <c r="K83" s="152" t="s">
        <v>352</v>
      </c>
      <c r="L83" s="152" t="s">
        <v>353</v>
      </c>
      <c r="M83" s="152" t="s">
        <v>354</v>
      </c>
      <c r="N83" s="202"/>
      <c r="O83" s="122"/>
    </row>
    <row r="84" spans="1:15">
      <c r="A84" s="152" t="s">
        <v>355</v>
      </c>
      <c r="B84" s="152" t="s">
        <v>356</v>
      </c>
      <c r="C84" s="218">
        <v>4368</v>
      </c>
      <c r="D84" s="218"/>
      <c r="E84" s="152"/>
      <c r="F84" s="152"/>
      <c r="G84" s="219"/>
      <c r="H84" s="152"/>
      <c r="I84" s="152"/>
      <c r="J84" s="152">
        <f>C84+(E84-F84)+G84+H84-I84</f>
        <v>4368</v>
      </c>
      <c r="K84" s="152">
        <f>(C84+D84+E84-F84)*0.12+G84*0.05+H84*0.02</f>
        <v>524.16</v>
      </c>
      <c r="L84" s="152"/>
      <c r="M84" s="152">
        <f>K84+L84</f>
        <v>524.16</v>
      </c>
      <c r="N84" s="202"/>
      <c r="O84" s="122"/>
    </row>
    <row r="85" spans="1:15">
      <c r="A85" s="152"/>
      <c r="B85" s="152" t="s">
        <v>357</v>
      </c>
      <c r="C85" s="218">
        <v>4060</v>
      </c>
      <c r="D85" s="218"/>
      <c r="E85" s="152"/>
      <c r="F85" s="152"/>
      <c r="G85" s="219"/>
      <c r="H85" s="152"/>
      <c r="I85" s="152"/>
      <c r="J85" s="152">
        <f>C85+(E85-F85)+G85+H85-I85</f>
        <v>4060</v>
      </c>
      <c r="K85" s="152">
        <f>(C85+D85+E85-F85)*0.12+G85*0.05+H85*0.02</f>
        <v>487.2</v>
      </c>
      <c r="L85" s="152"/>
      <c r="M85" s="152">
        <f>K85+L85</f>
        <v>487.2</v>
      </c>
      <c r="N85" s="202"/>
      <c r="O85" s="122"/>
    </row>
    <row r="86" spans="1:15">
      <c r="A86" s="152"/>
      <c r="B86" s="152" t="s">
        <v>358</v>
      </c>
      <c r="C86" s="218">
        <v>9765</v>
      </c>
      <c r="D86" s="218"/>
      <c r="E86" s="152"/>
      <c r="F86" s="152"/>
      <c r="G86" s="219"/>
      <c r="H86" s="152"/>
      <c r="I86" s="152"/>
      <c r="J86" s="152">
        <f>C86+(E86-F86)+G86+H86-I86</f>
        <v>9765</v>
      </c>
      <c r="K86" s="152">
        <f>(C86+D86+E86-F86)*0.12+G86*0.05+H86*0.02</f>
        <v>1171.8</v>
      </c>
      <c r="L86" s="152"/>
      <c r="M86" s="152">
        <f>K86+L86</f>
        <v>1171.8</v>
      </c>
      <c r="N86" s="200"/>
      <c r="O86" s="122"/>
    </row>
    <row r="87" ht="22.75" customHeight="1" spans="1:15">
      <c r="A87" s="152"/>
      <c r="B87" s="152" t="s">
        <v>359</v>
      </c>
      <c r="C87" s="152"/>
      <c r="D87" s="152"/>
      <c r="E87" s="152"/>
      <c r="F87" s="152"/>
      <c r="G87" s="219"/>
      <c r="H87" s="152"/>
      <c r="I87" s="152"/>
      <c r="J87" s="152">
        <f>C87+(E87-F87)+G87+H87-I87</f>
        <v>0</v>
      </c>
      <c r="K87" s="152">
        <f t="shared" ref="K87:K94" si="5">(C87+D87+E87-F87)*0.12+G87*0.05+H87*0.02</f>
        <v>0</v>
      </c>
      <c r="L87" s="178">
        <f>K88/0.12*0.008</f>
        <v>145.544</v>
      </c>
      <c r="M87" s="178">
        <f>K87+L87</f>
        <v>145.544</v>
      </c>
      <c r="N87" s="200"/>
      <c r="O87" s="122"/>
    </row>
    <row r="88" ht="22.75" customHeight="1" spans="1:14">
      <c r="A88" s="152"/>
      <c r="B88" s="220" t="s">
        <v>187</v>
      </c>
      <c r="C88" s="221">
        <f>SUM(C84:C87)</f>
        <v>18193</v>
      </c>
      <c r="D88" s="221">
        <f t="shared" ref="D88:M88" si="6">SUM(D84:D87)</f>
        <v>0</v>
      </c>
      <c r="E88" s="221">
        <f t="shared" si="6"/>
        <v>0</v>
      </c>
      <c r="F88" s="221">
        <f t="shared" si="6"/>
        <v>0</v>
      </c>
      <c r="G88" s="221">
        <f t="shared" si="6"/>
        <v>0</v>
      </c>
      <c r="H88" s="221">
        <f t="shared" si="6"/>
        <v>0</v>
      </c>
      <c r="I88" s="221">
        <f t="shared" si="6"/>
        <v>0</v>
      </c>
      <c r="J88" s="220">
        <f t="shared" si="6"/>
        <v>18193</v>
      </c>
      <c r="K88" s="220">
        <f t="shared" si="6"/>
        <v>2183.16</v>
      </c>
      <c r="L88" s="220">
        <f t="shared" si="6"/>
        <v>145.544</v>
      </c>
      <c r="M88" s="220">
        <f t="shared" si="6"/>
        <v>2328.704</v>
      </c>
      <c r="N88" s="151"/>
    </row>
    <row r="89" s="130" customFormat="1" ht="22.75" customHeight="1" spans="1:41">
      <c r="A89" s="222" t="s">
        <v>360</v>
      </c>
      <c r="B89" s="223" t="s">
        <v>158</v>
      </c>
      <c r="C89" s="224">
        <v>15860</v>
      </c>
      <c r="D89" s="224">
        <v>14208</v>
      </c>
      <c r="E89" s="223"/>
      <c r="F89" s="223"/>
      <c r="G89" s="223">
        <v>720</v>
      </c>
      <c r="H89" s="223"/>
      <c r="I89" s="223"/>
      <c r="J89" s="223">
        <f>C89+D89+(E89-F89)+G89+H89-I89</f>
        <v>30788</v>
      </c>
      <c r="K89" s="152">
        <f>(C89+D89+E89-F89)*0.12+G89*0.05+H89*0.02</f>
        <v>3644.16</v>
      </c>
      <c r="L89" s="223"/>
      <c r="M89" s="223">
        <f>K89+L89</f>
        <v>3644.16</v>
      </c>
      <c r="N89" s="230"/>
      <c r="O89" s="130"/>
      <c r="AF89" s="231"/>
      <c r="AG89" s="231"/>
      <c r="AK89" s="232"/>
      <c r="AL89" s="232"/>
      <c r="AO89" s="232"/>
    </row>
    <row r="90" ht="22.75" customHeight="1" spans="1:14">
      <c r="A90" s="225"/>
      <c r="B90" s="152" t="s">
        <v>361</v>
      </c>
      <c r="C90" s="218">
        <v>8000</v>
      </c>
      <c r="D90" s="218"/>
      <c r="E90" s="152"/>
      <c r="F90" s="152"/>
      <c r="G90" s="152"/>
      <c r="H90" s="152"/>
      <c r="I90" s="152"/>
      <c r="J90" s="152">
        <f t="shared" ref="J88:J94" si="7">C90+(E90-F90)+G90+H90-I90</f>
        <v>8000</v>
      </c>
      <c r="K90" s="152">
        <f t="shared" si="5"/>
        <v>960</v>
      </c>
      <c r="L90" s="152"/>
      <c r="M90" s="152">
        <f>K90+L90</f>
        <v>960</v>
      </c>
      <c r="N90" s="151"/>
    </row>
    <row r="91" ht="22.75" customHeight="1" spans="1:14">
      <c r="A91" s="225"/>
      <c r="B91" s="152" t="s">
        <v>362</v>
      </c>
      <c r="C91" s="218">
        <v>2708</v>
      </c>
      <c r="D91" s="218"/>
      <c r="E91" s="152"/>
      <c r="F91" s="152"/>
      <c r="G91" s="152"/>
      <c r="H91" s="152"/>
      <c r="I91" s="152"/>
      <c r="J91" s="152">
        <f t="shared" si="7"/>
        <v>2708</v>
      </c>
      <c r="K91" s="152">
        <f t="shared" si="5"/>
        <v>324.96</v>
      </c>
      <c r="L91" s="152"/>
      <c r="M91" s="152">
        <f>K91+L91</f>
        <v>324.96</v>
      </c>
      <c r="N91" s="151"/>
    </row>
    <row r="92" ht="22.75" customHeight="1" spans="1:14">
      <c r="A92" s="226"/>
      <c r="B92" s="220" t="s">
        <v>187</v>
      </c>
      <c r="C92" s="220">
        <f>SUM(C89:C91)</f>
        <v>26568</v>
      </c>
      <c r="D92" s="220">
        <f t="shared" ref="D92:I92" si="8">SUM(D89:D91)</f>
        <v>14208</v>
      </c>
      <c r="E92" s="220">
        <f t="shared" si="8"/>
        <v>0</v>
      </c>
      <c r="F92" s="220">
        <f t="shared" si="8"/>
        <v>0</v>
      </c>
      <c r="G92" s="220">
        <f t="shared" si="8"/>
        <v>720</v>
      </c>
      <c r="H92" s="220">
        <f t="shared" si="8"/>
        <v>0</v>
      </c>
      <c r="I92" s="220">
        <f t="shared" si="8"/>
        <v>0</v>
      </c>
      <c r="J92" s="220">
        <f t="shared" ref="G92:M92" si="9">SUM(J89:J91)</f>
        <v>41496</v>
      </c>
      <c r="K92" s="220">
        <f t="shared" si="9"/>
        <v>4929.12</v>
      </c>
      <c r="L92" s="220">
        <f t="shared" si="9"/>
        <v>0</v>
      </c>
      <c r="M92" s="220">
        <f t="shared" si="9"/>
        <v>4929.12</v>
      </c>
      <c r="N92" s="151"/>
    </row>
    <row r="93" ht="22.75" customHeight="1" spans="1:14">
      <c r="A93" s="152" t="s">
        <v>363</v>
      </c>
      <c r="B93" s="152" t="s">
        <v>124</v>
      </c>
      <c r="C93" s="176"/>
      <c r="D93" s="176"/>
      <c r="E93" s="152"/>
      <c r="F93" s="152"/>
      <c r="G93" s="152">
        <v>1816</v>
      </c>
      <c r="H93" s="152">
        <v>21560</v>
      </c>
      <c r="I93" s="152"/>
      <c r="J93" s="152">
        <f t="shared" si="7"/>
        <v>23376</v>
      </c>
      <c r="K93" s="152">
        <f t="shared" si="5"/>
        <v>522</v>
      </c>
      <c r="L93" s="152"/>
      <c r="M93" s="152">
        <f>K93+L93</f>
        <v>522</v>
      </c>
      <c r="N93" s="151"/>
    </row>
    <row r="94" ht="22.75" customHeight="1" spans="1:14">
      <c r="A94" s="152"/>
      <c r="B94" s="152" t="s">
        <v>156</v>
      </c>
      <c r="C94" s="176"/>
      <c r="D94" s="176"/>
      <c r="E94" s="152"/>
      <c r="F94" s="152"/>
      <c r="G94" s="152">
        <v>12318</v>
      </c>
      <c r="H94" s="152">
        <v>2646</v>
      </c>
      <c r="I94" s="152"/>
      <c r="J94" s="152">
        <f t="shared" si="7"/>
        <v>14964</v>
      </c>
      <c r="K94" s="152">
        <f t="shared" si="5"/>
        <v>668.82</v>
      </c>
      <c r="L94" s="152"/>
      <c r="M94" s="152">
        <f>K94+L94</f>
        <v>668.82</v>
      </c>
      <c r="N94" s="151"/>
    </row>
    <row r="95" ht="22.75" customHeight="1" spans="1:14">
      <c r="A95" s="227"/>
      <c r="B95" s="228" t="s">
        <v>187</v>
      </c>
      <c r="C95" s="220">
        <f>SUM(C93:C94)</f>
        <v>0</v>
      </c>
      <c r="D95" s="220">
        <f t="shared" ref="D95:I95" si="10">SUM(D93:D94)</f>
        <v>0</v>
      </c>
      <c r="E95" s="220">
        <f t="shared" si="10"/>
        <v>0</v>
      </c>
      <c r="F95" s="220">
        <f t="shared" si="10"/>
        <v>0</v>
      </c>
      <c r="G95" s="220">
        <f t="shared" si="10"/>
        <v>14134</v>
      </c>
      <c r="H95" s="220">
        <f t="shared" si="10"/>
        <v>24206</v>
      </c>
      <c r="I95" s="220">
        <f t="shared" si="10"/>
        <v>0</v>
      </c>
      <c r="J95" s="220">
        <f t="shared" ref="G95:M95" si="11">SUM(J93:J94)</f>
        <v>38340</v>
      </c>
      <c r="K95" s="220">
        <f t="shared" si="11"/>
        <v>1190.82</v>
      </c>
      <c r="L95" s="220">
        <f t="shared" si="11"/>
        <v>0</v>
      </c>
      <c r="M95" s="220">
        <f t="shared" si="11"/>
        <v>1190.82</v>
      </c>
      <c r="N95" s="151"/>
    </row>
    <row r="96" ht="22.75" customHeight="1" spans="1:14">
      <c r="A96" s="229" t="s">
        <v>222</v>
      </c>
      <c r="B96" s="229"/>
      <c r="C96" s="229">
        <f>C88+C92+C95</f>
        <v>44761</v>
      </c>
      <c r="D96" s="229"/>
      <c r="E96" s="229">
        <f t="shared" ref="E96:M96" si="12">E88+E92+E95</f>
        <v>0</v>
      </c>
      <c r="F96" s="229">
        <f t="shared" si="12"/>
        <v>0</v>
      </c>
      <c r="G96" s="229">
        <f t="shared" si="12"/>
        <v>14854</v>
      </c>
      <c r="H96" s="229">
        <f t="shared" si="12"/>
        <v>24206</v>
      </c>
      <c r="I96" s="229">
        <f t="shared" si="12"/>
        <v>0</v>
      </c>
      <c r="J96" s="229">
        <f t="shared" si="12"/>
        <v>98029</v>
      </c>
      <c r="K96" s="229">
        <f t="shared" si="12"/>
        <v>8303.1</v>
      </c>
      <c r="L96" s="229">
        <f t="shared" si="12"/>
        <v>145.544</v>
      </c>
      <c r="M96" s="229">
        <f t="shared" si="12"/>
        <v>8448.644</v>
      </c>
      <c r="N96" s="151"/>
    </row>
    <row r="97" ht="22.75" customHeight="1"/>
    <row r="98" ht="22.75" customHeight="1"/>
    <row r="99" ht="22.75" customHeight="1"/>
  </sheetData>
  <mergeCells count="30">
    <mergeCell ref="A15:C15"/>
    <mergeCell ref="E15:G15"/>
    <mergeCell ref="I15:K15"/>
    <mergeCell ref="A24:C24"/>
    <mergeCell ref="E24:G24"/>
    <mergeCell ref="G55:K55"/>
    <mergeCell ref="B56:E56"/>
    <mergeCell ref="A82:K82"/>
    <mergeCell ref="A96:B96"/>
    <mergeCell ref="A30:A31"/>
    <mergeCell ref="A84:A88"/>
    <mergeCell ref="A89:A92"/>
    <mergeCell ref="A93:A95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J41:J47"/>
    <mergeCell ref="K30:K31"/>
    <mergeCell ref="L30:L31"/>
    <mergeCell ref="M30:M31"/>
    <mergeCell ref="N30:N31"/>
    <mergeCell ref="O30:O31"/>
    <mergeCell ref="P30:P31"/>
    <mergeCell ref="R30:R31"/>
  </mergeCells>
  <conditionalFormatting sqref="L78">
    <cfRule type="aboveAverage" dxfId="0" priority="4" aboveAverage="0"/>
  </conditionalFormatting>
  <conditionalFormatting sqref="L79">
    <cfRule type="aboveAverage" dxfId="0" priority="3" aboveAverage="0"/>
  </conditionalFormatting>
  <conditionalFormatting sqref="L80">
    <cfRule type="aboveAverage" dxfId="0" priority="2" aboveAverage="0"/>
  </conditionalFormatting>
  <conditionalFormatting sqref="L81">
    <cfRule type="aboveAverage" dxfId="0" priority="1" aboveAverage="0"/>
  </conditionalFormatting>
  <conditionalFormatting sqref="L56:L77 N83:N88 L82">
    <cfRule type="aboveAverage" dxfId="0" priority="5" aboveAverage="0"/>
  </conditionalFormatting>
  <dataValidations count="2">
    <dataValidation type="list" allowBlank="1" showInputMessage="1" showErrorMessage="1" sqref="D14:AG14 BE14:IT14 B11:AF13">
      <formula1>"中班12点到21点,单双休班次,技术部全天班,晚班16点到24点,休,清空"</formula1>
    </dataValidation>
    <dataValidation type="list" allowBlank="1" showInputMessage="1" showErrorMessage="1" sqref="B2:AF7">
      <formula1>"单双休班次,客服中班12点,客服中班13点,客服晚班1,休,清空"</formula1>
    </dataValidation>
  </dataValidations>
  <pageMargins left="0.75" right="0.75" top="1" bottom="1" header="0.5" footer="0.5"/>
  <pageSetup paperSize="9" orientation="portrait"/>
  <headerFooter/>
  <ignoredErrors>
    <ignoredError sqref="K92 K88 F40 K33:K35 K50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R66"/>
  <sheetViews>
    <sheetView topLeftCell="A31" workbookViewId="0">
      <pane xSplit="1" topLeftCell="AF1" activePane="topRight" state="frozen"/>
      <selection/>
      <selection pane="topRight" activeCell="AQ31" sqref="AQ$1:AQ$1048576"/>
    </sheetView>
  </sheetViews>
  <sheetFormatPr defaultColWidth="9" defaultRowHeight="14" customHeight="1"/>
  <cols>
    <col min="1" max="4" width="9" style="114"/>
    <col min="5" max="5" width="12.6333333333333" style="113" customWidth="1"/>
    <col min="6" max="6" width="11.725" style="113" customWidth="1"/>
    <col min="7" max="7" width="9" style="113"/>
    <col min="8" max="9" width="9" style="115"/>
    <col min="10" max="10" width="13.45" style="115" customWidth="1"/>
    <col min="11" max="12" width="18" style="115" customWidth="1"/>
    <col min="13" max="13" width="15.1833333333333" style="115" customWidth="1"/>
    <col min="14" max="15" width="13.1833333333333" style="115" customWidth="1"/>
    <col min="16" max="16" width="13.725" style="115" customWidth="1"/>
    <col min="17" max="17" width="17.6333333333333" style="115" customWidth="1"/>
    <col min="18" max="18" width="18.6333333333333" style="115" customWidth="1"/>
    <col min="19" max="20" width="12.45" style="115" customWidth="1"/>
    <col min="21" max="21" width="14.45" style="115" customWidth="1"/>
    <col min="22" max="22" width="15.1833333333333" style="115" customWidth="1"/>
    <col min="23" max="23" width="18.6333333333333" style="115" customWidth="1"/>
    <col min="24" max="24" width="14.725" style="115" customWidth="1"/>
    <col min="25" max="25" width="14.8166666666667" style="115" customWidth="1"/>
    <col min="26" max="26" width="18" style="115" customWidth="1"/>
    <col min="27" max="27" width="19.6333333333333" style="115" customWidth="1"/>
    <col min="28" max="28" width="23.0916666666667" style="115" customWidth="1"/>
    <col min="29" max="29" width="15.6333333333333" style="115" customWidth="1"/>
    <col min="30" max="30" width="12.3666666666667" style="115" customWidth="1"/>
    <col min="31" max="33" width="18" style="115" customWidth="1"/>
    <col min="34" max="35" width="22.1833333333333" style="115" customWidth="1"/>
    <col min="36" max="36" width="17.9083333333333" style="115" customWidth="1"/>
    <col min="37" max="37" width="9" style="116"/>
    <col min="38" max="38" width="12.2666666666667" style="115" customWidth="1"/>
    <col min="39" max="39" width="12.725" style="115" customWidth="1"/>
    <col min="40" max="40" width="12.6333333333333" style="115" customWidth="1"/>
    <col min="41" max="41" width="14.2666666666667" style="115" customWidth="1"/>
    <col min="42" max="42" width="15.6333333333333" style="115" customWidth="1"/>
    <col min="43" max="43" width="17.725" style="115" customWidth="1"/>
    <col min="44" max="44" width="9" style="114"/>
    <col min="45" max="16384" width="9" style="113"/>
  </cols>
  <sheetData>
    <row r="1" s="113" customFormat="1" ht="13.5" spans="1:44">
      <c r="A1" s="117" t="s">
        <v>364</v>
      </c>
      <c r="B1" s="117" t="s">
        <v>4</v>
      </c>
      <c r="C1" s="117" t="s">
        <v>365</v>
      </c>
      <c r="D1" s="117" t="s">
        <v>366</v>
      </c>
      <c r="E1" s="118" t="s">
        <v>367</v>
      </c>
      <c r="F1" s="118" t="s">
        <v>368</v>
      </c>
      <c r="G1" s="118" t="s">
        <v>369</v>
      </c>
      <c r="H1" s="119" t="s">
        <v>370</v>
      </c>
      <c r="I1" s="119" t="s">
        <v>371</v>
      </c>
      <c r="J1" s="119" t="s">
        <v>372</v>
      </c>
      <c r="K1" s="119" t="s">
        <v>373</v>
      </c>
      <c r="L1" s="119" t="s">
        <v>374</v>
      </c>
      <c r="M1" s="119" t="s">
        <v>375</v>
      </c>
      <c r="N1" s="119" t="s">
        <v>376</v>
      </c>
      <c r="O1" s="119" t="s">
        <v>377</v>
      </c>
      <c r="P1" s="119" t="s">
        <v>378</v>
      </c>
      <c r="Q1" s="119" t="s">
        <v>379</v>
      </c>
      <c r="R1" s="119" t="s">
        <v>380</v>
      </c>
      <c r="S1" s="119" t="s">
        <v>381</v>
      </c>
      <c r="T1" s="119" t="s">
        <v>382</v>
      </c>
      <c r="U1" s="119" t="s">
        <v>383</v>
      </c>
      <c r="V1" s="119" t="s">
        <v>384</v>
      </c>
      <c r="W1" s="119" t="s">
        <v>385</v>
      </c>
      <c r="X1" s="119" t="s">
        <v>386</v>
      </c>
      <c r="Y1" s="119" t="s">
        <v>387</v>
      </c>
      <c r="Z1" s="119" t="s">
        <v>388</v>
      </c>
      <c r="AA1" s="119" t="s">
        <v>389</v>
      </c>
      <c r="AB1" s="119" t="s">
        <v>390</v>
      </c>
      <c r="AC1" s="119" t="s">
        <v>391</v>
      </c>
      <c r="AD1" s="119" t="s">
        <v>392</v>
      </c>
      <c r="AE1" s="119" t="s">
        <v>393</v>
      </c>
      <c r="AF1" s="119" t="s">
        <v>394</v>
      </c>
      <c r="AG1" s="119" t="s">
        <v>395</v>
      </c>
      <c r="AH1" s="119" t="s">
        <v>396</v>
      </c>
      <c r="AI1" s="119" t="s">
        <v>397</v>
      </c>
      <c r="AJ1" s="119" t="s">
        <v>398</v>
      </c>
      <c r="AK1" s="120" t="s">
        <v>399</v>
      </c>
      <c r="AL1" s="119" t="s">
        <v>400</v>
      </c>
      <c r="AM1" s="119" t="s">
        <v>401</v>
      </c>
      <c r="AN1" s="119" t="s">
        <v>402</v>
      </c>
      <c r="AO1" s="119" t="s">
        <v>403</v>
      </c>
      <c r="AP1" s="119" t="s">
        <v>404</v>
      </c>
      <c r="AQ1" s="119" t="s">
        <v>405</v>
      </c>
      <c r="AR1" s="117" t="s">
        <v>287</v>
      </c>
    </row>
    <row r="2" s="113" customFormat="1" ht="13.5" spans="1:44">
      <c r="A2" s="114" t="s">
        <v>89</v>
      </c>
      <c r="B2" s="114" t="s">
        <v>169</v>
      </c>
      <c r="C2" s="114" t="s">
        <v>406</v>
      </c>
      <c r="D2" s="114" t="s">
        <v>170</v>
      </c>
      <c r="E2" s="114" t="s">
        <v>407</v>
      </c>
      <c r="F2" s="114" t="s">
        <v>408</v>
      </c>
      <c r="G2" s="114" t="s">
        <v>409</v>
      </c>
      <c r="H2" s="115">
        <v>5789</v>
      </c>
      <c r="I2" s="115">
        <v>0</v>
      </c>
      <c r="J2" s="115">
        <v>0</v>
      </c>
      <c r="K2" s="115">
        <v>384.96</v>
      </c>
      <c r="L2" s="115">
        <v>96.24</v>
      </c>
      <c r="M2" s="115">
        <v>24.06</v>
      </c>
      <c r="N2" s="115">
        <v>0</v>
      </c>
      <c r="O2" s="115">
        <v>0</v>
      </c>
      <c r="P2" s="115">
        <v>0</v>
      </c>
      <c r="Q2" s="115">
        <v>0</v>
      </c>
      <c r="R2" s="115">
        <v>0</v>
      </c>
      <c r="S2" s="115">
        <v>56719.3</v>
      </c>
      <c r="T2" s="115">
        <v>0</v>
      </c>
      <c r="U2" s="115">
        <v>55000</v>
      </c>
      <c r="V2" s="115">
        <v>3182.46</v>
      </c>
      <c r="W2" s="115">
        <v>0</v>
      </c>
      <c r="X2" s="115">
        <v>0</v>
      </c>
      <c r="Y2" s="115">
        <v>0</v>
      </c>
      <c r="Z2" s="115">
        <v>0</v>
      </c>
      <c r="AA2" s="115">
        <v>0</v>
      </c>
      <c r="AB2" s="115">
        <v>0</v>
      </c>
      <c r="AC2" s="115">
        <v>0</v>
      </c>
      <c r="AD2" s="115">
        <v>1500</v>
      </c>
      <c r="AE2" s="115">
        <v>0</v>
      </c>
      <c r="AF2" s="115">
        <v>0</v>
      </c>
      <c r="AG2" s="115">
        <v>0</v>
      </c>
      <c r="AH2" s="115">
        <v>0</v>
      </c>
      <c r="AI2" s="115">
        <v>0</v>
      </c>
      <c r="AJ2" s="115">
        <v>0</v>
      </c>
      <c r="AK2" s="116">
        <v>0.03</v>
      </c>
      <c r="AL2" s="115">
        <v>0</v>
      </c>
      <c r="AM2" s="115">
        <v>0</v>
      </c>
      <c r="AN2" s="115">
        <v>0</v>
      </c>
      <c r="AO2" s="115">
        <v>0</v>
      </c>
      <c r="AP2" s="115">
        <v>0</v>
      </c>
      <c r="AQ2" s="115">
        <v>0</v>
      </c>
      <c r="AR2" s="114" t="s">
        <v>89</v>
      </c>
    </row>
    <row r="3" s="113" customFormat="1" ht="13.5" spans="1:44">
      <c r="A3" s="114" t="s">
        <v>89</v>
      </c>
      <c r="B3" s="114" t="s">
        <v>199</v>
      </c>
      <c r="C3" s="114" t="s">
        <v>406</v>
      </c>
      <c r="D3" s="114" t="s">
        <v>200</v>
      </c>
      <c r="E3" s="114" t="s">
        <v>407</v>
      </c>
      <c r="F3" s="114" t="s">
        <v>408</v>
      </c>
      <c r="G3" s="114" t="s">
        <v>409</v>
      </c>
      <c r="H3" s="115">
        <v>1892.5</v>
      </c>
      <c r="I3" s="115">
        <v>0</v>
      </c>
      <c r="J3" s="115">
        <v>0</v>
      </c>
      <c r="K3" s="115">
        <v>0</v>
      </c>
      <c r="L3" s="115">
        <v>0</v>
      </c>
      <c r="M3" s="115">
        <v>0</v>
      </c>
      <c r="N3" s="115">
        <v>0</v>
      </c>
      <c r="O3" s="115">
        <v>0</v>
      </c>
      <c r="P3" s="115">
        <v>0</v>
      </c>
      <c r="Q3" s="115">
        <v>0</v>
      </c>
      <c r="R3" s="115">
        <v>0</v>
      </c>
      <c r="S3" s="115">
        <v>11443.73</v>
      </c>
      <c r="T3" s="115">
        <v>0</v>
      </c>
      <c r="U3" s="115">
        <v>20000</v>
      </c>
      <c r="V3" s="115">
        <v>0</v>
      </c>
      <c r="W3" s="115">
        <v>0</v>
      </c>
      <c r="X3" s="115">
        <v>0</v>
      </c>
      <c r="Y3" s="115">
        <v>0</v>
      </c>
      <c r="Z3" s="115">
        <v>0</v>
      </c>
      <c r="AA3" s="115">
        <v>0</v>
      </c>
      <c r="AB3" s="115">
        <v>0</v>
      </c>
      <c r="AC3" s="115">
        <v>0</v>
      </c>
      <c r="AD3" s="115">
        <v>0</v>
      </c>
      <c r="AE3" s="115">
        <v>0</v>
      </c>
      <c r="AF3" s="115">
        <v>0</v>
      </c>
      <c r="AG3" s="115">
        <v>0</v>
      </c>
      <c r="AH3" s="115">
        <v>0</v>
      </c>
      <c r="AI3" s="115">
        <v>0</v>
      </c>
      <c r="AJ3" s="115">
        <v>0</v>
      </c>
      <c r="AK3" s="116">
        <v>0.03</v>
      </c>
      <c r="AL3" s="115">
        <v>0</v>
      </c>
      <c r="AM3" s="115">
        <v>0</v>
      </c>
      <c r="AN3" s="115">
        <v>0</v>
      </c>
      <c r="AO3" s="115">
        <v>0</v>
      </c>
      <c r="AP3" s="115">
        <v>0</v>
      </c>
      <c r="AQ3" s="115">
        <v>0</v>
      </c>
      <c r="AR3" s="114" t="s">
        <v>89</v>
      </c>
    </row>
    <row r="4" s="113" customFormat="1" ht="13.5" spans="1:44">
      <c r="A4" s="114" t="s">
        <v>89</v>
      </c>
      <c r="B4" s="114" t="s">
        <v>110</v>
      </c>
      <c r="C4" s="114" t="s">
        <v>406</v>
      </c>
      <c r="D4" s="114" t="s">
        <v>111</v>
      </c>
      <c r="E4" s="114" t="s">
        <v>407</v>
      </c>
      <c r="F4" s="114" t="s">
        <v>408</v>
      </c>
      <c r="G4" s="114" t="s">
        <v>409</v>
      </c>
      <c r="H4" s="115">
        <v>4760.33</v>
      </c>
      <c r="I4" s="115">
        <v>0</v>
      </c>
      <c r="J4" s="115">
        <v>0</v>
      </c>
      <c r="K4" s="115">
        <v>0</v>
      </c>
      <c r="L4" s="115">
        <v>0</v>
      </c>
      <c r="M4" s="115">
        <v>0</v>
      </c>
      <c r="N4" s="115">
        <v>0</v>
      </c>
      <c r="O4" s="115">
        <v>0</v>
      </c>
      <c r="P4" s="115">
        <v>0</v>
      </c>
      <c r="Q4" s="115">
        <v>0</v>
      </c>
      <c r="R4" s="115">
        <v>0</v>
      </c>
      <c r="S4" s="115">
        <v>14959.94</v>
      </c>
      <c r="T4" s="115">
        <v>0</v>
      </c>
      <c r="U4" s="115">
        <v>15000</v>
      </c>
      <c r="V4" s="115">
        <v>0</v>
      </c>
      <c r="W4" s="115">
        <v>0</v>
      </c>
      <c r="X4" s="115">
        <v>0</v>
      </c>
      <c r="Y4" s="115">
        <v>0</v>
      </c>
      <c r="Z4" s="115">
        <v>0</v>
      </c>
      <c r="AA4" s="115">
        <v>0</v>
      </c>
      <c r="AB4" s="115">
        <v>0</v>
      </c>
      <c r="AC4" s="115">
        <v>0</v>
      </c>
      <c r="AD4" s="115">
        <v>0</v>
      </c>
      <c r="AE4" s="115">
        <v>0</v>
      </c>
      <c r="AF4" s="115">
        <v>0</v>
      </c>
      <c r="AG4" s="115">
        <v>0</v>
      </c>
      <c r="AH4" s="115">
        <v>0</v>
      </c>
      <c r="AI4" s="115">
        <v>0</v>
      </c>
      <c r="AJ4" s="115">
        <v>0</v>
      </c>
      <c r="AK4" s="116">
        <v>0.03</v>
      </c>
      <c r="AL4" s="115">
        <v>0</v>
      </c>
      <c r="AM4" s="115">
        <v>0</v>
      </c>
      <c r="AN4" s="115">
        <v>0</v>
      </c>
      <c r="AO4" s="115">
        <v>0</v>
      </c>
      <c r="AP4" s="115">
        <v>5.99</v>
      </c>
      <c r="AQ4" s="115">
        <v>0</v>
      </c>
      <c r="AR4" s="114" t="s">
        <v>89</v>
      </c>
    </row>
    <row r="5" s="113" customFormat="1" ht="13.5" spans="1:44">
      <c r="A5" s="114" t="s">
        <v>89</v>
      </c>
      <c r="B5" s="114" t="s">
        <v>205</v>
      </c>
      <c r="C5" s="114" t="s">
        <v>406</v>
      </c>
      <c r="D5" s="114" t="s">
        <v>206</v>
      </c>
      <c r="E5" s="114" t="s">
        <v>407</v>
      </c>
      <c r="F5" s="114" t="s">
        <v>408</v>
      </c>
      <c r="G5" s="114" t="s">
        <v>409</v>
      </c>
      <c r="H5" s="115">
        <v>5640</v>
      </c>
      <c r="I5" s="115">
        <v>0</v>
      </c>
      <c r="J5" s="115">
        <v>0</v>
      </c>
      <c r="K5" s="115">
        <v>384.96</v>
      </c>
      <c r="L5" s="115">
        <v>96.24</v>
      </c>
      <c r="M5" s="115">
        <v>24.06</v>
      </c>
      <c r="N5" s="115">
        <v>0</v>
      </c>
      <c r="O5" s="115">
        <v>0</v>
      </c>
      <c r="P5" s="115">
        <v>0</v>
      </c>
      <c r="Q5" s="115">
        <v>0</v>
      </c>
      <c r="R5" s="115">
        <v>0</v>
      </c>
      <c r="S5" s="115">
        <v>22077.04</v>
      </c>
      <c r="T5" s="115">
        <v>0</v>
      </c>
      <c r="U5" s="115">
        <v>25000</v>
      </c>
      <c r="V5" s="115">
        <v>505.26</v>
      </c>
      <c r="W5" s="115">
        <v>0</v>
      </c>
      <c r="X5" s="115">
        <v>0</v>
      </c>
      <c r="Y5" s="115">
        <v>0</v>
      </c>
      <c r="Z5" s="115">
        <v>0</v>
      </c>
      <c r="AA5" s="115">
        <v>0</v>
      </c>
      <c r="AB5" s="115">
        <v>0</v>
      </c>
      <c r="AC5" s="115">
        <v>0</v>
      </c>
      <c r="AD5" s="115">
        <v>0</v>
      </c>
      <c r="AE5" s="115">
        <v>0</v>
      </c>
      <c r="AF5" s="115">
        <v>0</v>
      </c>
      <c r="AG5" s="115">
        <v>0</v>
      </c>
      <c r="AH5" s="115">
        <v>0</v>
      </c>
      <c r="AI5" s="115">
        <v>0</v>
      </c>
      <c r="AJ5" s="115">
        <v>0</v>
      </c>
      <c r="AK5" s="116">
        <v>0.03</v>
      </c>
      <c r="AL5" s="115">
        <v>0</v>
      </c>
      <c r="AM5" s="115">
        <v>0</v>
      </c>
      <c r="AN5" s="115">
        <v>0</v>
      </c>
      <c r="AO5" s="115">
        <v>0</v>
      </c>
      <c r="AP5" s="115">
        <v>0</v>
      </c>
      <c r="AQ5" s="115">
        <v>0</v>
      </c>
      <c r="AR5" s="114" t="s">
        <v>89</v>
      </c>
    </row>
    <row r="6" s="113" customFormat="1" ht="13.5" spans="1:44">
      <c r="A6" s="114" t="s">
        <v>89</v>
      </c>
      <c r="B6" s="114" t="s">
        <v>85</v>
      </c>
      <c r="C6" s="114" t="s">
        <v>406</v>
      </c>
      <c r="D6" s="114" t="s">
        <v>86</v>
      </c>
      <c r="E6" s="114" t="s">
        <v>407</v>
      </c>
      <c r="F6" s="114" t="s">
        <v>408</v>
      </c>
      <c r="G6" s="114" t="s">
        <v>409</v>
      </c>
      <c r="H6" s="115">
        <v>3000</v>
      </c>
      <c r="I6" s="115">
        <v>0</v>
      </c>
      <c r="J6" s="115">
        <v>0</v>
      </c>
      <c r="K6" s="115">
        <v>0</v>
      </c>
      <c r="L6" s="115">
        <v>0</v>
      </c>
      <c r="M6" s="115">
        <v>0</v>
      </c>
      <c r="N6" s="115">
        <v>0</v>
      </c>
      <c r="O6" s="115">
        <v>0</v>
      </c>
      <c r="P6" s="115">
        <v>0</v>
      </c>
      <c r="Q6" s="115">
        <v>0</v>
      </c>
      <c r="R6" s="115">
        <v>0</v>
      </c>
      <c r="S6" s="115">
        <v>33300</v>
      </c>
      <c r="T6" s="115">
        <v>0</v>
      </c>
      <c r="U6" s="115">
        <v>55000</v>
      </c>
      <c r="V6" s="115">
        <v>468.51</v>
      </c>
      <c r="W6" s="115">
        <v>0</v>
      </c>
      <c r="X6" s="115">
        <v>0</v>
      </c>
      <c r="Y6" s="115">
        <v>0</v>
      </c>
      <c r="Z6" s="115">
        <v>0</v>
      </c>
      <c r="AA6" s="115">
        <v>0</v>
      </c>
      <c r="AB6" s="115">
        <v>0</v>
      </c>
      <c r="AC6" s="115">
        <v>0</v>
      </c>
      <c r="AD6" s="115">
        <v>1500</v>
      </c>
      <c r="AE6" s="115">
        <v>0</v>
      </c>
      <c r="AF6" s="115">
        <v>0</v>
      </c>
      <c r="AG6" s="115">
        <v>0</v>
      </c>
      <c r="AH6" s="115">
        <v>0</v>
      </c>
      <c r="AI6" s="115">
        <v>0</v>
      </c>
      <c r="AJ6" s="115">
        <v>0</v>
      </c>
      <c r="AK6" s="116">
        <v>0.03</v>
      </c>
      <c r="AL6" s="115">
        <v>0</v>
      </c>
      <c r="AM6" s="115">
        <v>0</v>
      </c>
      <c r="AN6" s="115">
        <v>0</v>
      </c>
      <c r="AO6" s="115">
        <v>0</v>
      </c>
      <c r="AP6" s="115">
        <v>0</v>
      </c>
      <c r="AQ6" s="115">
        <v>0</v>
      </c>
      <c r="AR6" s="114" t="s">
        <v>89</v>
      </c>
    </row>
    <row r="7" s="113" customFormat="1" ht="13.5" spans="1:44">
      <c r="A7" s="114" t="s">
        <v>89</v>
      </c>
      <c r="B7" s="114" t="s">
        <v>57</v>
      </c>
      <c r="C7" s="114" t="s">
        <v>406</v>
      </c>
      <c r="D7" s="114" t="s">
        <v>58</v>
      </c>
      <c r="E7" s="114" t="s">
        <v>407</v>
      </c>
      <c r="F7" s="114" t="s">
        <v>408</v>
      </c>
      <c r="G7" s="114" t="s">
        <v>409</v>
      </c>
      <c r="H7" s="115">
        <v>6047.62</v>
      </c>
      <c r="I7" s="115">
        <v>0</v>
      </c>
      <c r="J7" s="115">
        <v>0</v>
      </c>
      <c r="K7" s="115">
        <v>384.96</v>
      </c>
      <c r="L7" s="115">
        <v>96.24</v>
      </c>
      <c r="M7" s="115">
        <v>24.06</v>
      </c>
      <c r="N7" s="115">
        <v>0</v>
      </c>
      <c r="O7" s="115">
        <v>0</v>
      </c>
      <c r="P7" s="115">
        <v>0</v>
      </c>
      <c r="Q7" s="115">
        <v>0</v>
      </c>
      <c r="R7" s="115">
        <v>0</v>
      </c>
      <c r="S7" s="115">
        <v>17582.55</v>
      </c>
      <c r="T7" s="115">
        <v>0</v>
      </c>
      <c r="U7" s="115">
        <v>20000</v>
      </c>
      <c r="V7" s="115">
        <v>505.26</v>
      </c>
      <c r="W7" s="115">
        <v>0</v>
      </c>
      <c r="X7" s="115">
        <v>0</v>
      </c>
      <c r="Y7" s="115">
        <v>0</v>
      </c>
      <c r="Z7" s="115">
        <v>6000</v>
      </c>
      <c r="AA7" s="115">
        <v>0</v>
      </c>
      <c r="AB7" s="115">
        <v>0</v>
      </c>
      <c r="AC7" s="115">
        <v>0</v>
      </c>
      <c r="AD7" s="115">
        <v>0</v>
      </c>
      <c r="AE7" s="115">
        <v>0</v>
      </c>
      <c r="AF7" s="115">
        <v>0</v>
      </c>
      <c r="AG7" s="115">
        <v>0</v>
      </c>
      <c r="AH7" s="115">
        <v>0</v>
      </c>
      <c r="AI7" s="115">
        <v>0</v>
      </c>
      <c r="AJ7" s="115">
        <v>0</v>
      </c>
      <c r="AK7" s="116">
        <v>0.03</v>
      </c>
      <c r="AL7" s="115">
        <v>0</v>
      </c>
      <c r="AM7" s="115">
        <v>0</v>
      </c>
      <c r="AN7" s="115">
        <v>0</v>
      </c>
      <c r="AO7" s="115">
        <v>0</v>
      </c>
      <c r="AP7" s="115">
        <v>0</v>
      </c>
      <c r="AQ7" s="115">
        <v>0</v>
      </c>
      <c r="AR7" s="114" t="s">
        <v>89</v>
      </c>
    </row>
    <row r="8" s="113" customFormat="1" ht="13.5" spans="1:44">
      <c r="A8" s="114" t="s">
        <v>89</v>
      </c>
      <c r="B8" s="114" t="s">
        <v>78</v>
      </c>
      <c r="C8" s="114" t="s">
        <v>406</v>
      </c>
      <c r="D8" s="114" t="s">
        <v>79</v>
      </c>
      <c r="E8" s="114" t="s">
        <v>407</v>
      </c>
      <c r="F8" s="114" t="s">
        <v>408</v>
      </c>
      <c r="G8" s="114" t="s">
        <v>409</v>
      </c>
      <c r="H8" s="115">
        <v>4775</v>
      </c>
      <c r="I8" s="115">
        <v>0</v>
      </c>
      <c r="J8" s="115">
        <v>0</v>
      </c>
      <c r="K8" s="115">
        <v>384.96</v>
      </c>
      <c r="L8" s="115">
        <v>96.24</v>
      </c>
      <c r="M8" s="115">
        <v>24.06</v>
      </c>
      <c r="N8" s="115">
        <v>0</v>
      </c>
      <c r="O8" s="115">
        <v>0</v>
      </c>
      <c r="P8" s="115">
        <v>0</v>
      </c>
      <c r="Q8" s="115">
        <v>0</v>
      </c>
      <c r="R8" s="115">
        <v>0</v>
      </c>
      <c r="S8" s="115">
        <v>72651.26</v>
      </c>
      <c r="T8" s="115">
        <v>0</v>
      </c>
      <c r="U8" s="115">
        <v>55000</v>
      </c>
      <c r="V8" s="115">
        <v>3650.97</v>
      </c>
      <c r="W8" s="115">
        <v>0</v>
      </c>
      <c r="X8" s="115">
        <v>0</v>
      </c>
      <c r="Y8" s="115">
        <v>0</v>
      </c>
      <c r="Z8" s="115">
        <v>0</v>
      </c>
      <c r="AA8" s="115">
        <v>0</v>
      </c>
      <c r="AB8" s="115">
        <v>0</v>
      </c>
      <c r="AC8" s="115">
        <v>0</v>
      </c>
      <c r="AD8" s="115">
        <v>1500</v>
      </c>
      <c r="AE8" s="115">
        <v>0</v>
      </c>
      <c r="AF8" s="115">
        <v>0</v>
      </c>
      <c r="AG8" s="115">
        <v>0</v>
      </c>
      <c r="AH8" s="115">
        <v>0</v>
      </c>
      <c r="AI8" s="115">
        <v>0</v>
      </c>
      <c r="AJ8" s="115">
        <v>12500.29</v>
      </c>
      <c r="AK8" s="116">
        <v>0.03</v>
      </c>
      <c r="AL8" s="115">
        <v>0</v>
      </c>
      <c r="AM8" s="115">
        <v>375.01</v>
      </c>
      <c r="AN8" s="115">
        <v>0</v>
      </c>
      <c r="AO8" s="115">
        <v>375.01</v>
      </c>
      <c r="AP8" s="115">
        <v>396.92</v>
      </c>
      <c r="AQ8" s="115">
        <v>0</v>
      </c>
      <c r="AR8" s="114" t="s">
        <v>89</v>
      </c>
    </row>
    <row r="9" s="113" customFormat="1" ht="13.5" spans="1:44">
      <c r="A9" s="114" t="s">
        <v>89</v>
      </c>
      <c r="B9" s="114" t="s">
        <v>120</v>
      </c>
      <c r="C9" s="114" t="s">
        <v>406</v>
      </c>
      <c r="D9" s="114" t="s">
        <v>121</v>
      </c>
      <c r="E9" s="114" t="s">
        <v>407</v>
      </c>
      <c r="F9" s="114" t="s">
        <v>408</v>
      </c>
      <c r="G9" s="114" t="s">
        <v>409</v>
      </c>
      <c r="H9" s="115">
        <v>865.78</v>
      </c>
      <c r="I9" s="115">
        <v>0</v>
      </c>
      <c r="J9" s="115">
        <v>0</v>
      </c>
      <c r="K9" s="115">
        <v>0</v>
      </c>
      <c r="L9" s="115">
        <v>0</v>
      </c>
      <c r="M9" s="115">
        <v>0</v>
      </c>
      <c r="N9" s="115">
        <v>0</v>
      </c>
      <c r="O9" s="115">
        <v>0</v>
      </c>
      <c r="P9" s="115">
        <v>0</v>
      </c>
      <c r="Q9" s="115">
        <v>0</v>
      </c>
      <c r="R9" s="115">
        <v>0</v>
      </c>
      <c r="S9" s="115">
        <v>865.78</v>
      </c>
      <c r="T9" s="115">
        <v>0</v>
      </c>
      <c r="U9" s="115">
        <v>5000</v>
      </c>
      <c r="V9" s="115">
        <v>0</v>
      </c>
      <c r="W9" s="115">
        <v>0</v>
      </c>
      <c r="X9" s="115">
        <v>0</v>
      </c>
      <c r="Y9" s="115">
        <v>0</v>
      </c>
      <c r="Z9" s="115">
        <v>0</v>
      </c>
      <c r="AA9" s="115">
        <v>0</v>
      </c>
      <c r="AB9" s="115">
        <v>0</v>
      </c>
      <c r="AC9" s="115">
        <v>0</v>
      </c>
      <c r="AD9" s="115">
        <v>0</v>
      </c>
      <c r="AE9" s="115">
        <v>0</v>
      </c>
      <c r="AF9" s="115">
        <v>0</v>
      </c>
      <c r="AG9" s="115">
        <v>0</v>
      </c>
      <c r="AH9" s="115">
        <v>0</v>
      </c>
      <c r="AI9" s="115">
        <v>0</v>
      </c>
      <c r="AJ9" s="115">
        <v>0</v>
      </c>
      <c r="AK9" s="116">
        <v>0.03</v>
      </c>
      <c r="AL9" s="115">
        <v>0</v>
      </c>
      <c r="AM9" s="115">
        <v>0</v>
      </c>
      <c r="AN9" s="115">
        <v>0</v>
      </c>
      <c r="AO9" s="115">
        <v>0</v>
      </c>
      <c r="AP9" s="115">
        <v>0</v>
      </c>
      <c r="AQ9" s="115">
        <v>0</v>
      </c>
      <c r="AR9" s="114" t="s">
        <v>89</v>
      </c>
    </row>
    <row r="10" s="113" customFormat="1" ht="13.5" spans="1:44">
      <c r="A10" s="114" t="s">
        <v>89</v>
      </c>
      <c r="B10" s="114" t="s">
        <v>100</v>
      </c>
      <c r="C10" s="114" t="s">
        <v>406</v>
      </c>
      <c r="D10" s="114" t="s">
        <v>101</v>
      </c>
      <c r="E10" s="114" t="s">
        <v>407</v>
      </c>
      <c r="F10" s="114" t="s">
        <v>408</v>
      </c>
      <c r="G10" s="114" t="s">
        <v>409</v>
      </c>
      <c r="H10" s="115">
        <v>11157.14</v>
      </c>
      <c r="I10" s="115">
        <v>0</v>
      </c>
      <c r="J10" s="115">
        <v>0</v>
      </c>
      <c r="K10" s="115">
        <v>384.96</v>
      </c>
      <c r="L10" s="115">
        <v>96.24</v>
      </c>
      <c r="M10" s="115">
        <v>24.06</v>
      </c>
      <c r="N10" s="115">
        <v>0</v>
      </c>
      <c r="O10" s="115">
        <v>0</v>
      </c>
      <c r="P10" s="115">
        <v>0</v>
      </c>
      <c r="Q10" s="115">
        <v>0</v>
      </c>
      <c r="R10" s="115">
        <v>0</v>
      </c>
      <c r="S10" s="115">
        <v>112723.28</v>
      </c>
      <c r="T10" s="115">
        <v>0</v>
      </c>
      <c r="U10" s="115">
        <v>50000</v>
      </c>
      <c r="V10" s="115">
        <v>2379.3</v>
      </c>
      <c r="W10" s="115">
        <v>0</v>
      </c>
      <c r="X10" s="115">
        <v>0</v>
      </c>
      <c r="Y10" s="115">
        <v>0</v>
      </c>
      <c r="Z10" s="115">
        <v>0</v>
      </c>
      <c r="AA10" s="115">
        <v>0</v>
      </c>
      <c r="AB10" s="115">
        <v>0</v>
      </c>
      <c r="AC10" s="115">
        <v>0</v>
      </c>
      <c r="AD10" s="115">
        <v>900</v>
      </c>
      <c r="AE10" s="115">
        <v>0</v>
      </c>
      <c r="AF10" s="115">
        <v>0</v>
      </c>
      <c r="AG10" s="115">
        <v>0</v>
      </c>
      <c r="AH10" s="115">
        <v>0</v>
      </c>
      <c r="AI10" s="115">
        <v>0</v>
      </c>
      <c r="AJ10" s="115">
        <v>59443.98</v>
      </c>
      <c r="AK10" s="116">
        <v>0.1</v>
      </c>
      <c r="AL10" s="115">
        <v>2520</v>
      </c>
      <c r="AM10" s="115">
        <v>3424.4</v>
      </c>
      <c r="AN10" s="115">
        <v>0</v>
      </c>
      <c r="AO10" s="115">
        <v>3424.4</v>
      </c>
      <c r="AP10" s="115">
        <v>2859.21</v>
      </c>
      <c r="AQ10" s="115">
        <v>565.19</v>
      </c>
      <c r="AR10" s="114" t="s">
        <v>89</v>
      </c>
    </row>
    <row r="11" s="113" customFormat="1" ht="13.5" spans="1:44">
      <c r="A11" s="114" t="s">
        <v>89</v>
      </c>
      <c r="B11" s="114" t="s">
        <v>90</v>
      </c>
      <c r="C11" s="114" t="s">
        <v>406</v>
      </c>
      <c r="D11" s="114" t="s">
        <v>91</v>
      </c>
      <c r="E11" s="114" t="s">
        <v>407</v>
      </c>
      <c r="F11" s="114" t="s">
        <v>408</v>
      </c>
      <c r="G11" s="114" t="s">
        <v>409</v>
      </c>
      <c r="H11" s="115">
        <v>3896.58</v>
      </c>
      <c r="I11" s="115">
        <v>0</v>
      </c>
      <c r="J11" s="115">
        <v>0</v>
      </c>
      <c r="K11" s="115">
        <v>384.96</v>
      </c>
      <c r="L11" s="115">
        <v>96.24</v>
      </c>
      <c r="M11" s="115">
        <v>24.06</v>
      </c>
      <c r="N11" s="115">
        <v>0</v>
      </c>
      <c r="O11" s="115">
        <v>0</v>
      </c>
      <c r="P11" s="115">
        <v>0</v>
      </c>
      <c r="Q11" s="115">
        <v>0</v>
      </c>
      <c r="R11" s="115">
        <v>0</v>
      </c>
      <c r="S11" s="115">
        <v>39525.7</v>
      </c>
      <c r="T11" s="115">
        <v>0</v>
      </c>
      <c r="U11" s="115">
        <v>55000</v>
      </c>
      <c r="V11" s="115">
        <v>973.77</v>
      </c>
      <c r="W11" s="115">
        <v>0</v>
      </c>
      <c r="X11" s="115">
        <v>0</v>
      </c>
      <c r="Y11" s="115">
        <v>0</v>
      </c>
      <c r="Z11" s="115">
        <v>0</v>
      </c>
      <c r="AA11" s="115">
        <v>0</v>
      </c>
      <c r="AB11" s="115">
        <v>0</v>
      </c>
      <c r="AC11" s="115">
        <v>0</v>
      </c>
      <c r="AD11" s="115">
        <v>1500</v>
      </c>
      <c r="AE11" s="115">
        <v>0</v>
      </c>
      <c r="AF11" s="115">
        <v>0</v>
      </c>
      <c r="AG11" s="115">
        <v>0</v>
      </c>
      <c r="AH11" s="115">
        <v>0</v>
      </c>
      <c r="AI11" s="115">
        <v>0</v>
      </c>
      <c r="AJ11" s="115">
        <v>0</v>
      </c>
      <c r="AK11" s="116">
        <v>0.03</v>
      </c>
      <c r="AL11" s="115">
        <v>0</v>
      </c>
      <c r="AM11" s="115">
        <v>0</v>
      </c>
      <c r="AN11" s="115">
        <v>0</v>
      </c>
      <c r="AO11" s="115">
        <v>0</v>
      </c>
      <c r="AP11" s="115">
        <v>3.08</v>
      </c>
      <c r="AQ11" s="115">
        <v>0</v>
      </c>
      <c r="AR11" s="114" t="s">
        <v>89</v>
      </c>
    </row>
    <row r="12" s="113" customFormat="1" ht="13.5" spans="1:44">
      <c r="A12" s="114" t="s">
        <v>89</v>
      </c>
      <c r="B12" s="114" t="s">
        <v>189</v>
      </c>
      <c r="C12" s="114" t="s">
        <v>406</v>
      </c>
      <c r="D12" s="114" t="s">
        <v>190</v>
      </c>
      <c r="E12" s="114" t="s">
        <v>407</v>
      </c>
      <c r="F12" s="114" t="s">
        <v>408</v>
      </c>
      <c r="G12" s="114" t="s">
        <v>409</v>
      </c>
      <c r="H12" s="115">
        <v>9695.24</v>
      </c>
      <c r="I12" s="115">
        <v>0</v>
      </c>
      <c r="J12" s="115">
        <v>0</v>
      </c>
      <c r="K12" s="115">
        <v>384.96</v>
      </c>
      <c r="L12" s="115">
        <v>96.24</v>
      </c>
      <c r="M12" s="115">
        <v>24.06</v>
      </c>
      <c r="N12" s="115">
        <v>480</v>
      </c>
      <c r="O12" s="115">
        <v>0</v>
      </c>
      <c r="P12" s="115">
        <v>0</v>
      </c>
      <c r="Q12" s="115">
        <v>0</v>
      </c>
      <c r="R12" s="115">
        <v>0</v>
      </c>
      <c r="S12" s="115">
        <v>98965.94</v>
      </c>
      <c r="T12" s="115">
        <v>0</v>
      </c>
      <c r="U12" s="115">
        <v>55000</v>
      </c>
      <c r="V12" s="115">
        <v>6530.97</v>
      </c>
      <c r="W12" s="115">
        <v>0</v>
      </c>
      <c r="X12" s="115">
        <v>0</v>
      </c>
      <c r="Y12" s="115">
        <v>0</v>
      </c>
      <c r="Z12" s="115">
        <v>9000</v>
      </c>
      <c r="AA12" s="115">
        <v>0</v>
      </c>
      <c r="AB12" s="115">
        <v>0</v>
      </c>
      <c r="AC12" s="115">
        <v>0</v>
      </c>
      <c r="AD12" s="115">
        <v>1500</v>
      </c>
      <c r="AE12" s="115">
        <v>0</v>
      </c>
      <c r="AF12" s="115">
        <v>0</v>
      </c>
      <c r="AG12" s="115">
        <v>0</v>
      </c>
      <c r="AH12" s="115">
        <v>0</v>
      </c>
      <c r="AI12" s="115">
        <v>0</v>
      </c>
      <c r="AJ12" s="115">
        <v>26934.97</v>
      </c>
      <c r="AK12" s="116">
        <v>0.03</v>
      </c>
      <c r="AL12" s="115">
        <v>0</v>
      </c>
      <c r="AM12" s="115">
        <v>808.05</v>
      </c>
      <c r="AN12" s="115">
        <v>0</v>
      </c>
      <c r="AO12" s="115">
        <v>808.05</v>
      </c>
      <c r="AP12" s="115">
        <v>696.75</v>
      </c>
      <c r="AQ12" s="115">
        <v>111.3</v>
      </c>
      <c r="AR12" s="114" t="s">
        <v>89</v>
      </c>
    </row>
    <row r="13" s="113" customFormat="1" ht="13.5" spans="1:44">
      <c r="A13" s="114" t="s">
        <v>89</v>
      </c>
      <c r="B13" s="114" t="s">
        <v>35</v>
      </c>
      <c r="C13" s="114" t="s">
        <v>406</v>
      </c>
      <c r="D13" s="114" t="s">
        <v>36</v>
      </c>
      <c r="E13" s="114" t="s">
        <v>407</v>
      </c>
      <c r="F13" s="114" t="s">
        <v>408</v>
      </c>
      <c r="G13" s="114" t="s">
        <v>409</v>
      </c>
      <c r="H13" s="115">
        <v>14815</v>
      </c>
      <c r="I13" s="115">
        <v>0</v>
      </c>
      <c r="J13" s="115">
        <v>0</v>
      </c>
      <c r="K13" s="115">
        <v>384.96</v>
      </c>
      <c r="L13" s="115">
        <v>96.24</v>
      </c>
      <c r="M13" s="115">
        <v>24.06</v>
      </c>
      <c r="N13" s="115">
        <v>1778</v>
      </c>
      <c r="O13" s="115">
        <v>0</v>
      </c>
      <c r="P13" s="115">
        <v>0</v>
      </c>
      <c r="Q13" s="115">
        <v>0</v>
      </c>
      <c r="R13" s="115">
        <v>0</v>
      </c>
      <c r="S13" s="115">
        <v>152122.95</v>
      </c>
      <c r="T13" s="115">
        <v>0</v>
      </c>
      <c r="U13" s="115">
        <v>55000</v>
      </c>
      <c r="V13" s="115">
        <v>13822.97</v>
      </c>
      <c r="W13" s="115">
        <v>0</v>
      </c>
      <c r="X13" s="115">
        <v>0</v>
      </c>
      <c r="Y13" s="115">
        <v>5500</v>
      </c>
      <c r="Z13" s="115">
        <v>0</v>
      </c>
      <c r="AA13" s="115">
        <v>0</v>
      </c>
      <c r="AB13" s="115">
        <v>0</v>
      </c>
      <c r="AC13" s="115">
        <v>0</v>
      </c>
      <c r="AD13" s="115">
        <v>1500</v>
      </c>
      <c r="AE13" s="115">
        <v>0</v>
      </c>
      <c r="AF13" s="115">
        <v>0</v>
      </c>
      <c r="AG13" s="115">
        <v>0</v>
      </c>
      <c r="AH13" s="115">
        <v>0</v>
      </c>
      <c r="AI13" s="115">
        <v>0</v>
      </c>
      <c r="AJ13" s="115">
        <v>76299.98</v>
      </c>
      <c r="AK13" s="116">
        <v>0.1</v>
      </c>
      <c r="AL13" s="115">
        <v>2520</v>
      </c>
      <c r="AM13" s="115">
        <v>5110</v>
      </c>
      <c r="AN13" s="115">
        <v>0</v>
      </c>
      <c r="AO13" s="115">
        <v>5110</v>
      </c>
      <c r="AP13" s="115">
        <v>4406.82</v>
      </c>
      <c r="AQ13" s="115">
        <v>703.18</v>
      </c>
      <c r="AR13" s="114" t="s">
        <v>89</v>
      </c>
    </row>
    <row r="14" s="113" customFormat="1" ht="13.5" spans="1:44">
      <c r="A14" s="114" t="s">
        <v>89</v>
      </c>
      <c r="B14" s="114" t="s">
        <v>114</v>
      </c>
      <c r="C14" s="114" t="s">
        <v>406</v>
      </c>
      <c r="D14" s="114" t="s">
        <v>115</v>
      </c>
      <c r="E14" s="114" t="s">
        <v>407</v>
      </c>
      <c r="F14" s="114" t="s">
        <v>408</v>
      </c>
      <c r="G14" s="114" t="s">
        <v>409</v>
      </c>
      <c r="H14" s="115">
        <v>4606.58</v>
      </c>
      <c r="I14" s="115">
        <v>0</v>
      </c>
      <c r="J14" s="115">
        <v>0</v>
      </c>
      <c r="K14" s="115">
        <v>384.96</v>
      </c>
      <c r="L14" s="115">
        <v>96.24</v>
      </c>
      <c r="M14" s="115">
        <v>24.06</v>
      </c>
      <c r="N14" s="115">
        <v>0</v>
      </c>
      <c r="O14" s="115">
        <v>0</v>
      </c>
      <c r="P14" s="115">
        <v>0</v>
      </c>
      <c r="Q14" s="115">
        <v>0</v>
      </c>
      <c r="R14" s="115">
        <v>0</v>
      </c>
      <c r="S14" s="115">
        <v>14068.96</v>
      </c>
      <c r="T14" s="115">
        <v>0</v>
      </c>
      <c r="U14" s="115">
        <v>15000</v>
      </c>
      <c r="V14" s="115">
        <v>505.26</v>
      </c>
      <c r="W14" s="115">
        <v>0</v>
      </c>
      <c r="X14" s="115">
        <v>0</v>
      </c>
      <c r="Y14" s="115">
        <v>0</v>
      </c>
      <c r="Z14" s="115">
        <v>0</v>
      </c>
      <c r="AA14" s="115">
        <v>0</v>
      </c>
      <c r="AB14" s="115">
        <v>0</v>
      </c>
      <c r="AC14" s="115">
        <v>0</v>
      </c>
      <c r="AD14" s="115">
        <v>0</v>
      </c>
      <c r="AE14" s="115">
        <v>0</v>
      </c>
      <c r="AF14" s="115">
        <v>0</v>
      </c>
      <c r="AG14" s="115">
        <v>0</v>
      </c>
      <c r="AH14" s="115">
        <v>0</v>
      </c>
      <c r="AI14" s="115">
        <v>0</v>
      </c>
      <c r="AJ14" s="115">
        <v>0</v>
      </c>
      <c r="AK14" s="116">
        <v>0.03</v>
      </c>
      <c r="AL14" s="115">
        <v>0</v>
      </c>
      <c r="AM14" s="115">
        <v>0</v>
      </c>
      <c r="AN14" s="115">
        <v>0</v>
      </c>
      <c r="AO14" s="115">
        <v>0</v>
      </c>
      <c r="AP14" s="115">
        <v>0</v>
      </c>
      <c r="AQ14" s="115">
        <v>0</v>
      </c>
      <c r="AR14" s="114" t="s">
        <v>89</v>
      </c>
    </row>
    <row r="15" s="113" customFormat="1" ht="13.5" spans="1:44">
      <c r="A15" s="114" t="s">
        <v>89</v>
      </c>
      <c r="B15" s="114" t="s">
        <v>124</v>
      </c>
      <c r="C15" s="114" t="s">
        <v>406</v>
      </c>
      <c r="D15" s="114" t="s">
        <v>125</v>
      </c>
      <c r="E15" s="114" t="s">
        <v>407</v>
      </c>
      <c r="F15" s="114" t="s">
        <v>408</v>
      </c>
      <c r="G15" s="114" t="s">
        <v>409</v>
      </c>
      <c r="H15" s="115">
        <v>12572</v>
      </c>
      <c r="I15" s="115">
        <v>0</v>
      </c>
      <c r="J15" s="115">
        <v>0</v>
      </c>
      <c r="K15" s="115">
        <v>384.96</v>
      </c>
      <c r="L15" s="115">
        <v>96.24</v>
      </c>
      <c r="M15" s="115">
        <v>24.06</v>
      </c>
      <c r="N15" s="115">
        <v>0</v>
      </c>
      <c r="O15" s="115">
        <v>0</v>
      </c>
      <c r="P15" s="115">
        <v>0</v>
      </c>
      <c r="Q15" s="115">
        <v>0</v>
      </c>
      <c r="R15" s="115">
        <v>0</v>
      </c>
      <c r="S15" s="115">
        <v>132647.67</v>
      </c>
      <c r="T15" s="115">
        <v>0</v>
      </c>
      <c r="U15" s="115">
        <v>55000</v>
      </c>
      <c r="V15" s="115">
        <v>3650.97</v>
      </c>
      <c r="W15" s="115">
        <v>0</v>
      </c>
      <c r="X15" s="115">
        <v>0</v>
      </c>
      <c r="Y15" s="115">
        <v>0</v>
      </c>
      <c r="Z15" s="115">
        <v>0</v>
      </c>
      <c r="AA15" s="115">
        <v>0</v>
      </c>
      <c r="AB15" s="115">
        <v>0</v>
      </c>
      <c r="AC15" s="115">
        <v>0</v>
      </c>
      <c r="AD15" s="115">
        <v>1500</v>
      </c>
      <c r="AE15" s="115">
        <v>0</v>
      </c>
      <c r="AF15" s="115">
        <v>0</v>
      </c>
      <c r="AG15" s="115">
        <v>0</v>
      </c>
      <c r="AH15" s="115">
        <v>0</v>
      </c>
      <c r="AI15" s="115">
        <v>0</v>
      </c>
      <c r="AJ15" s="115">
        <v>72496.7</v>
      </c>
      <c r="AK15" s="116">
        <v>0.1</v>
      </c>
      <c r="AL15" s="115">
        <v>2520</v>
      </c>
      <c r="AM15" s="115">
        <v>4729.67</v>
      </c>
      <c r="AN15" s="115">
        <v>0</v>
      </c>
      <c r="AO15" s="115">
        <v>4729.67</v>
      </c>
      <c r="AP15" s="115">
        <v>4023</v>
      </c>
      <c r="AQ15" s="115">
        <v>706.67</v>
      </c>
      <c r="AR15" s="114" t="s">
        <v>89</v>
      </c>
    </row>
    <row r="16" s="113" customFormat="1" ht="13.5" spans="1:44">
      <c r="A16" s="114" t="s">
        <v>89</v>
      </c>
      <c r="B16" s="114" t="s">
        <v>144</v>
      </c>
      <c r="C16" s="114" t="s">
        <v>406</v>
      </c>
      <c r="D16" s="114" t="s">
        <v>145</v>
      </c>
      <c r="E16" s="114" t="s">
        <v>407</v>
      </c>
      <c r="F16" s="114" t="s">
        <v>408</v>
      </c>
      <c r="G16" s="114" t="s">
        <v>409</v>
      </c>
      <c r="H16" s="115">
        <v>6301.92</v>
      </c>
      <c r="I16" s="115">
        <v>0</v>
      </c>
      <c r="J16" s="115">
        <v>0</v>
      </c>
      <c r="K16" s="115">
        <v>384.96</v>
      </c>
      <c r="L16" s="115">
        <v>96.24</v>
      </c>
      <c r="M16" s="115">
        <v>24.06</v>
      </c>
      <c r="N16" s="115">
        <v>0</v>
      </c>
      <c r="O16" s="115">
        <v>0</v>
      </c>
      <c r="P16" s="115">
        <v>0</v>
      </c>
      <c r="Q16" s="115">
        <v>0</v>
      </c>
      <c r="R16" s="115">
        <v>0</v>
      </c>
      <c r="S16" s="115">
        <v>20540.01</v>
      </c>
      <c r="T16" s="115">
        <v>0</v>
      </c>
      <c r="U16" s="115">
        <v>20000</v>
      </c>
      <c r="V16" s="115">
        <v>505.26</v>
      </c>
      <c r="W16" s="115">
        <v>0</v>
      </c>
      <c r="X16" s="115">
        <v>0</v>
      </c>
      <c r="Y16" s="115">
        <v>0</v>
      </c>
      <c r="Z16" s="115">
        <v>0</v>
      </c>
      <c r="AA16" s="115">
        <v>0</v>
      </c>
      <c r="AB16" s="115">
        <v>0</v>
      </c>
      <c r="AC16" s="115">
        <v>0</v>
      </c>
      <c r="AD16" s="115">
        <v>0</v>
      </c>
      <c r="AE16" s="115">
        <v>0</v>
      </c>
      <c r="AF16" s="115">
        <v>0</v>
      </c>
      <c r="AG16" s="115">
        <v>0</v>
      </c>
      <c r="AH16" s="115">
        <v>0</v>
      </c>
      <c r="AI16" s="115">
        <v>0</v>
      </c>
      <c r="AJ16" s="115">
        <v>34.75</v>
      </c>
      <c r="AK16" s="116">
        <v>0.03</v>
      </c>
      <c r="AL16" s="115">
        <v>0</v>
      </c>
      <c r="AM16" s="115">
        <v>1.04</v>
      </c>
      <c r="AN16" s="115">
        <v>0</v>
      </c>
      <c r="AO16" s="115">
        <v>1.04</v>
      </c>
      <c r="AP16" s="115">
        <v>0</v>
      </c>
      <c r="AQ16" s="115">
        <v>1.04</v>
      </c>
      <c r="AR16" s="114" t="s">
        <v>89</v>
      </c>
    </row>
    <row r="17" s="113" customFormat="1" ht="13.5" spans="1:44">
      <c r="A17" s="114" t="s">
        <v>89</v>
      </c>
      <c r="B17" s="114" t="s">
        <v>219</v>
      </c>
      <c r="C17" s="114" t="s">
        <v>406</v>
      </c>
      <c r="D17" s="114" t="s">
        <v>220</v>
      </c>
      <c r="E17" s="114" t="s">
        <v>407</v>
      </c>
      <c r="F17" s="114" t="s">
        <v>408</v>
      </c>
      <c r="G17" s="114" t="s">
        <v>409</v>
      </c>
      <c r="H17" s="115">
        <v>15050</v>
      </c>
      <c r="I17" s="115">
        <v>0</v>
      </c>
      <c r="J17" s="115">
        <v>0</v>
      </c>
      <c r="K17" s="115">
        <v>384.96</v>
      </c>
      <c r="L17" s="115">
        <v>96.24</v>
      </c>
      <c r="M17" s="115">
        <v>24.06</v>
      </c>
      <c r="N17" s="115">
        <v>2400</v>
      </c>
      <c r="O17" s="115">
        <v>0</v>
      </c>
      <c r="P17" s="115">
        <v>0</v>
      </c>
      <c r="Q17" s="115">
        <v>0</v>
      </c>
      <c r="R17" s="115">
        <v>0</v>
      </c>
      <c r="S17" s="115">
        <v>153370.7</v>
      </c>
      <c r="T17" s="115">
        <v>0</v>
      </c>
      <c r="U17" s="115">
        <v>55000</v>
      </c>
      <c r="V17" s="115">
        <v>14150.97</v>
      </c>
      <c r="W17" s="115">
        <v>0</v>
      </c>
      <c r="X17" s="115">
        <v>0</v>
      </c>
      <c r="Y17" s="115">
        <v>5500</v>
      </c>
      <c r="Z17" s="115">
        <v>0</v>
      </c>
      <c r="AA17" s="115">
        <v>0</v>
      </c>
      <c r="AB17" s="115">
        <v>0</v>
      </c>
      <c r="AC17" s="115">
        <v>0</v>
      </c>
      <c r="AD17" s="115">
        <v>1500</v>
      </c>
      <c r="AE17" s="115">
        <v>0</v>
      </c>
      <c r="AF17" s="115">
        <v>0</v>
      </c>
      <c r="AG17" s="115">
        <v>0</v>
      </c>
      <c r="AH17" s="115">
        <v>0</v>
      </c>
      <c r="AI17" s="115">
        <v>0</v>
      </c>
      <c r="AJ17" s="115">
        <v>77219.73</v>
      </c>
      <c r="AK17" s="116">
        <v>0.1</v>
      </c>
      <c r="AL17" s="115">
        <v>2520</v>
      </c>
      <c r="AM17" s="115">
        <v>5201.97</v>
      </c>
      <c r="AN17" s="115">
        <v>0</v>
      </c>
      <c r="AO17" s="115">
        <v>5201.97</v>
      </c>
      <c r="AP17" s="115">
        <v>4537.5</v>
      </c>
      <c r="AQ17" s="115">
        <v>664.47</v>
      </c>
      <c r="AR17" s="114" t="s">
        <v>89</v>
      </c>
    </row>
    <row r="18" s="113" customFormat="1" ht="13.5" spans="1:44">
      <c r="A18" s="114" t="s">
        <v>89</v>
      </c>
      <c r="B18" s="114" t="s">
        <v>215</v>
      </c>
      <c r="C18" s="114" t="s">
        <v>406</v>
      </c>
      <c r="D18" s="114" t="s">
        <v>216</v>
      </c>
      <c r="E18" s="114" t="s">
        <v>407</v>
      </c>
      <c r="F18" s="114" t="s">
        <v>408</v>
      </c>
      <c r="G18" s="114" t="s">
        <v>409</v>
      </c>
      <c r="H18" s="115">
        <v>6160</v>
      </c>
      <c r="I18" s="115">
        <v>0</v>
      </c>
      <c r="J18" s="115">
        <v>0</v>
      </c>
      <c r="K18" s="115">
        <v>384.96</v>
      </c>
      <c r="L18" s="115">
        <v>96.24</v>
      </c>
      <c r="M18" s="115">
        <v>24.06</v>
      </c>
      <c r="N18" s="115">
        <v>0</v>
      </c>
      <c r="O18" s="115">
        <v>0</v>
      </c>
      <c r="P18" s="115">
        <v>0</v>
      </c>
      <c r="Q18" s="115">
        <v>0</v>
      </c>
      <c r="R18" s="115">
        <v>0</v>
      </c>
      <c r="S18" s="115">
        <v>57716.24</v>
      </c>
      <c r="T18" s="115">
        <v>0</v>
      </c>
      <c r="U18" s="115">
        <v>55000</v>
      </c>
      <c r="V18" s="115">
        <v>3650.97</v>
      </c>
      <c r="W18" s="115">
        <v>0</v>
      </c>
      <c r="X18" s="115">
        <v>0</v>
      </c>
      <c r="Y18" s="115">
        <v>0</v>
      </c>
      <c r="Z18" s="115">
        <v>0</v>
      </c>
      <c r="AA18" s="115">
        <v>0</v>
      </c>
      <c r="AB18" s="115">
        <v>0</v>
      </c>
      <c r="AC18" s="115">
        <v>0</v>
      </c>
      <c r="AD18" s="115">
        <v>1500</v>
      </c>
      <c r="AE18" s="115">
        <v>0</v>
      </c>
      <c r="AF18" s="115">
        <v>0</v>
      </c>
      <c r="AG18" s="115">
        <v>0</v>
      </c>
      <c r="AH18" s="115">
        <v>0</v>
      </c>
      <c r="AI18" s="115">
        <v>0</v>
      </c>
      <c r="AJ18" s="115">
        <v>0</v>
      </c>
      <c r="AK18" s="116">
        <v>0.03</v>
      </c>
      <c r="AL18" s="115">
        <v>0</v>
      </c>
      <c r="AM18" s="115">
        <v>0</v>
      </c>
      <c r="AN18" s="115">
        <v>0</v>
      </c>
      <c r="AO18" s="115">
        <v>0</v>
      </c>
      <c r="AP18" s="115">
        <v>0.94</v>
      </c>
      <c r="AQ18" s="115">
        <v>0</v>
      </c>
      <c r="AR18" s="114" t="s">
        <v>89</v>
      </c>
    </row>
    <row r="19" s="113" customFormat="1" ht="13.5" spans="1:44">
      <c r="A19" s="114" t="s">
        <v>89</v>
      </c>
      <c r="B19" s="114" t="s">
        <v>153</v>
      </c>
      <c r="C19" s="114" t="s">
        <v>406</v>
      </c>
      <c r="D19" s="114" t="s">
        <v>154</v>
      </c>
      <c r="E19" s="114" t="s">
        <v>407</v>
      </c>
      <c r="F19" s="114" t="s">
        <v>408</v>
      </c>
      <c r="G19" s="114" t="s">
        <v>409</v>
      </c>
      <c r="H19" s="115">
        <v>20000</v>
      </c>
      <c r="I19" s="115">
        <v>0</v>
      </c>
      <c r="J19" s="115">
        <v>0</v>
      </c>
      <c r="K19" s="115">
        <v>384.96</v>
      </c>
      <c r="L19" s="115">
        <v>96.24</v>
      </c>
      <c r="M19" s="115">
        <v>24.06</v>
      </c>
      <c r="N19" s="115">
        <v>1200</v>
      </c>
      <c r="O19" s="115">
        <v>0</v>
      </c>
      <c r="P19" s="115">
        <v>0</v>
      </c>
      <c r="Q19" s="115">
        <v>0</v>
      </c>
      <c r="R19" s="115">
        <v>0</v>
      </c>
      <c r="S19" s="115">
        <v>74884.22</v>
      </c>
      <c r="T19" s="115">
        <v>0</v>
      </c>
      <c r="U19" s="115">
        <v>20000</v>
      </c>
      <c r="V19" s="115">
        <v>1705.26</v>
      </c>
      <c r="W19" s="115">
        <v>0</v>
      </c>
      <c r="X19" s="115">
        <v>0</v>
      </c>
      <c r="Y19" s="115">
        <v>0</v>
      </c>
      <c r="Z19" s="115">
        <v>0</v>
      </c>
      <c r="AA19" s="115">
        <v>0</v>
      </c>
      <c r="AB19" s="115">
        <v>0</v>
      </c>
      <c r="AC19" s="115">
        <v>0</v>
      </c>
      <c r="AD19" s="115">
        <v>0</v>
      </c>
      <c r="AE19" s="115">
        <v>0</v>
      </c>
      <c r="AF19" s="115">
        <v>0</v>
      </c>
      <c r="AG19" s="115">
        <v>0</v>
      </c>
      <c r="AH19" s="115">
        <v>0</v>
      </c>
      <c r="AI19" s="115">
        <v>0</v>
      </c>
      <c r="AJ19" s="115">
        <v>53178.96</v>
      </c>
      <c r="AK19" s="116">
        <v>0.1</v>
      </c>
      <c r="AL19" s="115">
        <v>2520</v>
      </c>
      <c r="AM19" s="115">
        <v>2797.9</v>
      </c>
      <c r="AN19" s="115">
        <v>0</v>
      </c>
      <c r="AO19" s="115">
        <v>2797.9</v>
      </c>
      <c r="AP19" s="115">
        <v>1468.42</v>
      </c>
      <c r="AQ19" s="115">
        <v>1329.48</v>
      </c>
      <c r="AR19" s="114" t="s">
        <v>89</v>
      </c>
    </row>
    <row r="20" s="113" customFormat="1" ht="13.5" spans="1:44">
      <c r="A20" s="114" t="s">
        <v>89</v>
      </c>
      <c r="B20" s="114" t="s">
        <v>39</v>
      </c>
      <c r="C20" s="114" t="s">
        <v>406</v>
      </c>
      <c r="D20" s="114" t="s">
        <v>40</v>
      </c>
      <c r="E20" s="114" t="s">
        <v>407</v>
      </c>
      <c r="F20" s="114" t="s">
        <v>408</v>
      </c>
      <c r="G20" s="114" t="s">
        <v>409</v>
      </c>
      <c r="H20" s="115">
        <v>5000</v>
      </c>
      <c r="I20" s="115">
        <v>0</v>
      </c>
      <c r="J20" s="115">
        <v>0</v>
      </c>
      <c r="K20" s="115">
        <v>0</v>
      </c>
      <c r="L20" s="115">
        <v>0</v>
      </c>
      <c r="M20" s="115">
        <v>0</v>
      </c>
      <c r="N20" s="115">
        <v>0</v>
      </c>
      <c r="O20" s="115">
        <v>0</v>
      </c>
      <c r="P20" s="115">
        <v>0</v>
      </c>
      <c r="Q20" s="115">
        <v>0</v>
      </c>
      <c r="R20" s="115">
        <v>0</v>
      </c>
      <c r="S20" s="115">
        <v>55000</v>
      </c>
      <c r="T20" s="115">
        <v>0</v>
      </c>
      <c r="U20" s="115">
        <v>55000</v>
      </c>
      <c r="V20" s="115">
        <v>468.51</v>
      </c>
      <c r="W20" s="115">
        <v>0</v>
      </c>
      <c r="X20" s="115">
        <v>0</v>
      </c>
      <c r="Y20" s="115">
        <v>0</v>
      </c>
      <c r="Z20" s="115">
        <v>0</v>
      </c>
      <c r="AA20" s="115">
        <v>0</v>
      </c>
      <c r="AB20" s="115">
        <v>0</v>
      </c>
      <c r="AC20" s="115">
        <v>0</v>
      </c>
      <c r="AD20" s="115">
        <v>1500</v>
      </c>
      <c r="AE20" s="115">
        <v>0</v>
      </c>
      <c r="AF20" s="115">
        <v>0</v>
      </c>
      <c r="AG20" s="115">
        <v>0</v>
      </c>
      <c r="AH20" s="115">
        <v>0</v>
      </c>
      <c r="AI20" s="115">
        <v>0</v>
      </c>
      <c r="AJ20" s="115">
        <v>0</v>
      </c>
      <c r="AK20" s="116">
        <v>0.03</v>
      </c>
      <c r="AL20" s="115">
        <v>0</v>
      </c>
      <c r="AM20" s="115">
        <v>0</v>
      </c>
      <c r="AN20" s="115">
        <v>0</v>
      </c>
      <c r="AO20" s="115">
        <v>0</v>
      </c>
      <c r="AP20" s="115">
        <v>0</v>
      </c>
      <c r="AQ20" s="115">
        <v>0</v>
      </c>
      <c r="AR20" s="114" t="s">
        <v>89</v>
      </c>
    </row>
    <row r="21" s="113" customFormat="1" ht="13.5" spans="1:44">
      <c r="A21" s="114" t="s">
        <v>89</v>
      </c>
      <c r="B21" s="114" t="s">
        <v>105</v>
      </c>
      <c r="C21" s="114" t="s">
        <v>406</v>
      </c>
      <c r="D21" s="114" t="s">
        <v>106</v>
      </c>
      <c r="E21" s="114" t="s">
        <v>407</v>
      </c>
      <c r="F21" s="114" t="s">
        <v>408</v>
      </c>
      <c r="G21" s="114" t="s">
        <v>409</v>
      </c>
      <c r="H21" s="115">
        <v>8940.77</v>
      </c>
      <c r="I21" s="115">
        <v>0</v>
      </c>
      <c r="J21" s="115">
        <v>0</v>
      </c>
      <c r="K21" s="115">
        <v>384.96</v>
      </c>
      <c r="L21" s="115">
        <v>96.24</v>
      </c>
      <c r="M21" s="115">
        <v>24.06</v>
      </c>
      <c r="N21" s="115">
        <v>0</v>
      </c>
      <c r="O21" s="115">
        <v>0</v>
      </c>
      <c r="P21" s="115">
        <v>0</v>
      </c>
      <c r="Q21" s="115">
        <v>0</v>
      </c>
      <c r="R21" s="115">
        <v>0</v>
      </c>
      <c r="S21" s="115">
        <v>50563.6</v>
      </c>
      <c r="T21" s="115">
        <v>0</v>
      </c>
      <c r="U21" s="115">
        <v>55000</v>
      </c>
      <c r="V21" s="115">
        <v>1910.79</v>
      </c>
      <c r="W21" s="115">
        <v>0</v>
      </c>
      <c r="X21" s="115">
        <v>0</v>
      </c>
      <c r="Y21" s="115">
        <v>0</v>
      </c>
      <c r="Z21" s="115">
        <v>0</v>
      </c>
      <c r="AA21" s="115">
        <v>0</v>
      </c>
      <c r="AB21" s="115">
        <v>0</v>
      </c>
      <c r="AC21" s="115">
        <v>0</v>
      </c>
      <c r="AD21" s="115">
        <v>600</v>
      </c>
      <c r="AE21" s="115">
        <v>0</v>
      </c>
      <c r="AF21" s="115">
        <v>0</v>
      </c>
      <c r="AG21" s="115">
        <v>0</v>
      </c>
      <c r="AH21" s="115">
        <v>0</v>
      </c>
      <c r="AI21" s="115">
        <v>0</v>
      </c>
      <c r="AJ21" s="115">
        <v>0</v>
      </c>
      <c r="AK21" s="116">
        <v>0.03</v>
      </c>
      <c r="AL21" s="115">
        <v>0</v>
      </c>
      <c r="AM21" s="115">
        <v>0</v>
      </c>
      <c r="AN21" s="115">
        <v>0</v>
      </c>
      <c r="AO21" s="115">
        <v>0</v>
      </c>
      <c r="AP21" s="115">
        <v>0</v>
      </c>
      <c r="AQ21" s="115">
        <v>0</v>
      </c>
      <c r="AR21" s="114" t="s">
        <v>89</v>
      </c>
    </row>
    <row r="22" s="113" customFormat="1" ht="13.5" spans="1:44">
      <c r="A22" s="114" t="s">
        <v>89</v>
      </c>
      <c r="B22" s="114" t="s">
        <v>61</v>
      </c>
      <c r="C22" s="114" t="s">
        <v>406</v>
      </c>
      <c r="D22" s="114" t="s">
        <v>62</v>
      </c>
      <c r="E22" s="114" t="s">
        <v>407</v>
      </c>
      <c r="F22" s="114" t="s">
        <v>408</v>
      </c>
      <c r="G22" s="114" t="s">
        <v>409</v>
      </c>
      <c r="H22" s="115">
        <v>5500</v>
      </c>
      <c r="I22" s="115">
        <v>0</v>
      </c>
      <c r="J22" s="115">
        <v>0</v>
      </c>
      <c r="K22" s="115">
        <v>384.96</v>
      </c>
      <c r="L22" s="115">
        <v>96.24</v>
      </c>
      <c r="M22" s="115">
        <v>24.06</v>
      </c>
      <c r="N22" s="115">
        <v>0</v>
      </c>
      <c r="O22" s="115">
        <v>0</v>
      </c>
      <c r="P22" s="115">
        <v>0</v>
      </c>
      <c r="Q22" s="115">
        <v>0</v>
      </c>
      <c r="R22" s="115">
        <v>0</v>
      </c>
      <c r="S22" s="115">
        <v>24229.44</v>
      </c>
      <c r="T22" s="115">
        <v>0</v>
      </c>
      <c r="U22" s="115">
        <v>30000</v>
      </c>
      <c r="V22" s="115">
        <v>973.77</v>
      </c>
      <c r="W22" s="115">
        <v>0</v>
      </c>
      <c r="X22" s="115">
        <v>0</v>
      </c>
      <c r="Y22" s="115">
        <v>0</v>
      </c>
      <c r="Z22" s="115">
        <v>0</v>
      </c>
      <c r="AA22" s="115">
        <v>0</v>
      </c>
      <c r="AB22" s="115">
        <v>0</v>
      </c>
      <c r="AC22" s="115">
        <v>0</v>
      </c>
      <c r="AD22" s="115">
        <v>0</v>
      </c>
      <c r="AE22" s="115">
        <v>0</v>
      </c>
      <c r="AF22" s="115">
        <v>0</v>
      </c>
      <c r="AG22" s="115">
        <v>0</v>
      </c>
      <c r="AH22" s="115">
        <v>0</v>
      </c>
      <c r="AI22" s="115">
        <v>0</v>
      </c>
      <c r="AJ22" s="115">
        <v>0</v>
      </c>
      <c r="AK22" s="116">
        <v>0.03</v>
      </c>
      <c r="AL22" s="115">
        <v>0</v>
      </c>
      <c r="AM22" s="115">
        <v>0</v>
      </c>
      <c r="AN22" s="115">
        <v>0</v>
      </c>
      <c r="AO22" s="115">
        <v>0</v>
      </c>
      <c r="AP22" s="115">
        <v>0</v>
      </c>
      <c r="AQ22" s="115">
        <v>0</v>
      </c>
      <c r="AR22" s="114" t="s">
        <v>89</v>
      </c>
    </row>
    <row r="23" s="113" customFormat="1" ht="13.5" spans="1:44">
      <c r="A23" s="114" t="s">
        <v>89</v>
      </c>
      <c r="B23" s="114" t="s">
        <v>192</v>
      </c>
      <c r="C23" s="114" t="s">
        <v>406</v>
      </c>
      <c r="D23" s="114" t="s">
        <v>193</v>
      </c>
      <c r="E23" s="114" t="s">
        <v>407</v>
      </c>
      <c r="F23" s="114" t="s">
        <v>408</v>
      </c>
      <c r="G23" s="114" t="s">
        <v>409</v>
      </c>
      <c r="H23" s="115">
        <v>8280</v>
      </c>
      <c r="I23" s="115">
        <v>0</v>
      </c>
      <c r="J23" s="115">
        <v>0</v>
      </c>
      <c r="K23" s="115">
        <v>384.96</v>
      </c>
      <c r="L23" s="115">
        <v>96.24</v>
      </c>
      <c r="M23" s="115">
        <v>24.06</v>
      </c>
      <c r="N23" s="115">
        <v>0</v>
      </c>
      <c r="O23" s="115">
        <v>0</v>
      </c>
      <c r="P23" s="115">
        <v>0</v>
      </c>
      <c r="Q23" s="115">
        <v>0</v>
      </c>
      <c r="R23" s="115">
        <v>0</v>
      </c>
      <c r="S23" s="115">
        <v>45505.21</v>
      </c>
      <c r="T23" s="115">
        <v>0</v>
      </c>
      <c r="U23" s="115">
        <v>30000</v>
      </c>
      <c r="V23" s="115">
        <v>973.77</v>
      </c>
      <c r="W23" s="115">
        <v>0</v>
      </c>
      <c r="X23" s="115">
        <v>0</v>
      </c>
      <c r="Y23" s="115">
        <v>0</v>
      </c>
      <c r="Z23" s="115">
        <v>0</v>
      </c>
      <c r="AA23" s="115">
        <v>0</v>
      </c>
      <c r="AB23" s="115">
        <v>0</v>
      </c>
      <c r="AC23" s="115">
        <v>0</v>
      </c>
      <c r="AD23" s="115">
        <v>0</v>
      </c>
      <c r="AE23" s="115">
        <v>0</v>
      </c>
      <c r="AF23" s="115">
        <v>0</v>
      </c>
      <c r="AG23" s="115">
        <v>0</v>
      </c>
      <c r="AH23" s="115">
        <v>0</v>
      </c>
      <c r="AI23" s="115">
        <v>0</v>
      </c>
      <c r="AJ23" s="115">
        <v>14531.44</v>
      </c>
      <c r="AK23" s="116">
        <v>0.03</v>
      </c>
      <c r="AL23" s="115">
        <v>0</v>
      </c>
      <c r="AM23" s="115">
        <v>435.94</v>
      </c>
      <c r="AN23" s="115">
        <v>0</v>
      </c>
      <c r="AO23" s="115">
        <v>435.94</v>
      </c>
      <c r="AP23" s="115">
        <v>352.7</v>
      </c>
      <c r="AQ23" s="115">
        <v>83.24</v>
      </c>
      <c r="AR23" s="114" t="s">
        <v>89</v>
      </c>
    </row>
    <row r="24" s="113" customFormat="1" ht="13.5" spans="1:44">
      <c r="A24" s="114" t="s">
        <v>89</v>
      </c>
      <c r="B24" s="114" t="s">
        <v>133</v>
      </c>
      <c r="C24" s="114" t="s">
        <v>406</v>
      </c>
      <c r="D24" s="114" t="s">
        <v>134</v>
      </c>
      <c r="E24" s="114" t="s">
        <v>407</v>
      </c>
      <c r="F24" s="114" t="s">
        <v>408</v>
      </c>
      <c r="G24" s="114" t="s">
        <v>409</v>
      </c>
      <c r="H24" s="115">
        <v>6250</v>
      </c>
      <c r="I24" s="115">
        <v>0</v>
      </c>
      <c r="J24" s="115">
        <v>0</v>
      </c>
      <c r="K24" s="115">
        <v>384.96</v>
      </c>
      <c r="L24" s="115">
        <v>96.24</v>
      </c>
      <c r="M24" s="115">
        <v>24.06</v>
      </c>
      <c r="N24" s="115">
        <v>299</v>
      </c>
      <c r="O24" s="115">
        <v>0</v>
      </c>
      <c r="P24" s="115">
        <v>0</v>
      </c>
      <c r="Q24" s="115">
        <v>0</v>
      </c>
      <c r="R24" s="115">
        <v>0</v>
      </c>
      <c r="S24" s="115">
        <v>61437.08</v>
      </c>
      <c r="T24" s="115">
        <v>0</v>
      </c>
      <c r="U24" s="115">
        <v>55000</v>
      </c>
      <c r="V24" s="115">
        <v>5593.97</v>
      </c>
      <c r="W24" s="115">
        <v>0</v>
      </c>
      <c r="X24" s="115">
        <v>0</v>
      </c>
      <c r="Y24" s="115">
        <v>0</v>
      </c>
      <c r="Z24" s="115">
        <v>0</v>
      </c>
      <c r="AA24" s="115">
        <v>0</v>
      </c>
      <c r="AB24" s="115">
        <v>0</v>
      </c>
      <c r="AC24" s="115">
        <v>0</v>
      </c>
      <c r="AD24" s="115">
        <v>1500</v>
      </c>
      <c r="AE24" s="115">
        <v>0</v>
      </c>
      <c r="AF24" s="115">
        <v>0</v>
      </c>
      <c r="AG24" s="115">
        <v>0</v>
      </c>
      <c r="AH24" s="115">
        <v>0</v>
      </c>
      <c r="AI24" s="115">
        <v>0</v>
      </c>
      <c r="AJ24" s="115">
        <v>0</v>
      </c>
      <c r="AK24" s="116">
        <v>0.03</v>
      </c>
      <c r="AL24" s="115">
        <v>0</v>
      </c>
      <c r="AM24" s="115">
        <v>0</v>
      </c>
      <c r="AN24" s="115">
        <v>0</v>
      </c>
      <c r="AO24" s="115">
        <v>0</v>
      </c>
      <c r="AP24" s="115">
        <v>1.58</v>
      </c>
      <c r="AQ24" s="115">
        <v>0</v>
      </c>
      <c r="AR24" s="114" t="s">
        <v>89</v>
      </c>
    </row>
    <row r="25" s="113" customFormat="1" ht="13.5" spans="1:44">
      <c r="A25" s="114" t="s">
        <v>89</v>
      </c>
      <c r="B25" s="114" t="s">
        <v>97</v>
      </c>
      <c r="C25" s="114" t="s">
        <v>406</v>
      </c>
      <c r="D25" s="114" t="s">
        <v>98</v>
      </c>
      <c r="E25" s="114" t="s">
        <v>407</v>
      </c>
      <c r="F25" s="114" t="s">
        <v>408</v>
      </c>
      <c r="G25" s="114" t="s">
        <v>409</v>
      </c>
      <c r="H25" s="115">
        <v>6279.15</v>
      </c>
      <c r="I25" s="115">
        <v>0</v>
      </c>
      <c r="J25" s="115">
        <v>0</v>
      </c>
      <c r="K25" s="115">
        <v>384.96</v>
      </c>
      <c r="L25" s="115">
        <v>96.24</v>
      </c>
      <c r="M25" s="115">
        <v>24.06</v>
      </c>
      <c r="N25" s="115">
        <v>0</v>
      </c>
      <c r="O25" s="115">
        <v>0</v>
      </c>
      <c r="P25" s="115">
        <v>0</v>
      </c>
      <c r="Q25" s="115">
        <v>0</v>
      </c>
      <c r="R25" s="115">
        <v>0</v>
      </c>
      <c r="S25" s="115">
        <v>48699.15</v>
      </c>
      <c r="T25" s="115">
        <v>0</v>
      </c>
      <c r="U25" s="115">
        <v>55000</v>
      </c>
      <c r="V25" s="115">
        <v>2379.3</v>
      </c>
      <c r="W25" s="115">
        <v>0</v>
      </c>
      <c r="X25" s="115">
        <v>0</v>
      </c>
      <c r="Y25" s="115">
        <v>0</v>
      </c>
      <c r="Z25" s="115">
        <v>0</v>
      </c>
      <c r="AA25" s="115">
        <v>0</v>
      </c>
      <c r="AB25" s="115">
        <v>0</v>
      </c>
      <c r="AC25" s="115">
        <v>0</v>
      </c>
      <c r="AD25" s="115">
        <v>900</v>
      </c>
      <c r="AE25" s="115">
        <v>0</v>
      </c>
      <c r="AF25" s="115">
        <v>0</v>
      </c>
      <c r="AG25" s="115">
        <v>0</v>
      </c>
      <c r="AH25" s="115">
        <v>0</v>
      </c>
      <c r="AI25" s="115">
        <v>0</v>
      </c>
      <c r="AJ25" s="115">
        <v>0</v>
      </c>
      <c r="AK25" s="116">
        <v>0.03</v>
      </c>
      <c r="AL25" s="115">
        <v>0</v>
      </c>
      <c r="AM25" s="115">
        <v>0</v>
      </c>
      <c r="AN25" s="115">
        <v>0</v>
      </c>
      <c r="AO25" s="115">
        <v>0</v>
      </c>
      <c r="AP25" s="115">
        <v>0</v>
      </c>
      <c r="AQ25" s="115">
        <v>0</v>
      </c>
      <c r="AR25" s="114" t="s">
        <v>89</v>
      </c>
    </row>
    <row r="26" s="113" customFormat="1" ht="13.5" spans="1:44">
      <c r="A26" s="114" t="s">
        <v>89</v>
      </c>
      <c r="B26" s="114" t="s">
        <v>31</v>
      </c>
      <c r="C26" s="114" t="s">
        <v>406</v>
      </c>
      <c r="D26" s="114" t="s">
        <v>32</v>
      </c>
      <c r="E26" s="114" t="s">
        <v>407</v>
      </c>
      <c r="F26" s="114" t="s">
        <v>408</v>
      </c>
      <c r="G26" s="114" t="s">
        <v>409</v>
      </c>
      <c r="H26" s="115">
        <v>15450</v>
      </c>
      <c r="I26" s="115">
        <v>0</v>
      </c>
      <c r="J26" s="115">
        <v>0</v>
      </c>
      <c r="K26" s="115">
        <v>384.96</v>
      </c>
      <c r="L26" s="115">
        <v>96.24</v>
      </c>
      <c r="M26" s="115">
        <v>24.06</v>
      </c>
      <c r="N26" s="115">
        <v>1848</v>
      </c>
      <c r="O26" s="115">
        <v>0</v>
      </c>
      <c r="P26" s="115">
        <v>0</v>
      </c>
      <c r="Q26" s="115">
        <v>0</v>
      </c>
      <c r="R26" s="115">
        <v>0</v>
      </c>
      <c r="S26" s="115">
        <v>158693.95</v>
      </c>
      <c r="T26" s="115">
        <v>0</v>
      </c>
      <c r="U26" s="115">
        <v>55000</v>
      </c>
      <c r="V26" s="115">
        <v>13604.97</v>
      </c>
      <c r="W26" s="115">
        <v>22000</v>
      </c>
      <c r="X26" s="115">
        <v>0</v>
      </c>
      <c r="Y26" s="115">
        <v>11000</v>
      </c>
      <c r="Z26" s="115">
        <v>0</v>
      </c>
      <c r="AA26" s="115">
        <v>0</v>
      </c>
      <c r="AB26" s="115">
        <v>0</v>
      </c>
      <c r="AC26" s="115">
        <v>0</v>
      </c>
      <c r="AD26" s="115">
        <v>1500</v>
      </c>
      <c r="AE26" s="115">
        <v>0</v>
      </c>
      <c r="AF26" s="115">
        <v>0</v>
      </c>
      <c r="AG26" s="115">
        <v>0</v>
      </c>
      <c r="AH26" s="115">
        <v>0</v>
      </c>
      <c r="AI26" s="115">
        <v>0</v>
      </c>
      <c r="AJ26" s="115">
        <v>55588.98</v>
      </c>
      <c r="AK26" s="116">
        <v>0.1</v>
      </c>
      <c r="AL26" s="115">
        <v>2520</v>
      </c>
      <c r="AM26" s="115">
        <v>3038.9</v>
      </c>
      <c r="AN26" s="115">
        <v>0</v>
      </c>
      <c r="AO26" s="115">
        <v>3038.9</v>
      </c>
      <c r="AP26" s="115">
        <v>2529.22</v>
      </c>
      <c r="AQ26" s="115">
        <v>509.68</v>
      </c>
      <c r="AR26" s="114" t="s">
        <v>89</v>
      </c>
    </row>
    <row r="27" s="113" customFormat="1" ht="13.5" spans="1:44">
      <c r="A27" s="114" t="s">
        <v>89</v>
      </c>
      <c r="B27" s="114" t="s">
        <v>183</v>
      </c>
      <c r="C27" s="114" t="s">
        <v>406</v>
      </c>
      <c r="D27" s="114" t="s">
        <v>410</v>
      </c>
      <c r="E27" s="114" t="s">
        <v>407</v>
      </c>
      <c r="F27" s="114" t="s">
        <v>408</v>
      </c>
      <c r="G27" s="114" t="s">
        <v>409</v>
      </c>
      <c r="H27" s="115">
        <v>9823.21</v>
      </c>
      <c r="I27" s="115">
        <v>0</v>
      </c>
      <c r="J27" s="115">
        <v>0</v>
      </c>
      <c r="K27" s="115">
        <v>384.96</v>
      </c>
      <c r="L27" s="115">
        <v>96.24</v>
      </c>
      <c r="M27" s="115">
        <v>24.06</v>
      </c>
      <c r="N27" s="115">
        <v>0</v>
      </c>
      <c r="O27" s="115">
        <v>0</v>
      </c>
      <c r="P27" s="115">
        <v>0</v>
      </c>
      <c r="Q27" s="115">
        <v>0</v>
      </c>
      <c r="R27" s="115">
        <v>0</v>
      </c>
      <c r="S27" s="115">
        <v>51953.5</v>
      </c>
      <c r="T27" s="115">
        <v>0</v>
      </c>
      <c r="U27" s="115">
        <v>35000</v>
      </c>
      <c r="V27" s="115">
        <v>973.77</v>
      </c>
      <c r="W27" s="115">
        <v>0</v>
      </c>
      <c r="X27" s="115">
        <v>0</v>
      </c>
      <c r="Y27" s="115">
        <v>0</v>
      </c>
      <c r="Z27" s="115">
        <v>0</v>
      </c>
      <c r="AA27" s="115">
        <v>0</v>
      </c>
      <c r="AB27" s="115">
        <v>0</v>
      </c>
      <c r="AC27" s="115">
        <v>0</v>
      </c>
      <c r="AD27" s="115">
        <v>0</v>
      </c>
      <c r="AE27" s="115">
        <v>0</v>
      </c>
      <c r="AF27" s="115">
        <v>0</v>
      </c>
      <c r="AG27" s="115">
        <v>0</v>
      </c>
      <c r="AH27" s="115">
        <v>0</v>
      </c>
      <c r="AI27" s="115">
        <v>0</v>
      </c>
      <c r="AJ27" s="115">
        <v>15979.73</v>
      </c>
      <c r="AK27" s="116">
        <v>0.03</v>
      </c>
      <c r="AL27" s="115">
        <v>0</v>
      </c>
      <c r="AM27" s="115">
        <v>479.39</v>
      </c>
      <c r="AN27" s="115">
        <v>0</v>
      </c>
      <c r="AO27" s="115">
        <v>479.39</v>
      </c>
      <c r="AP27" s="115">
        <v>349.85</v>
      </c>
      <c r="AQ27" s="115">
        <v>129.54</v>
      </c>
      <c r="AR27" s="114" t="s">
        <v>89</v>
      </c>
    </row>
    <row r="28" s="113" customFormat="1" ht="13.5" spans="1:44">
      <c r="A28" s="114" t="s">
        <v>89</v>
      </c>
      <c r="B28" s="114" t="s">
        <v>212</v>
      </c>
      <c r="C28" s="114" t="s">
        <v>406</v>
      </c>
      <c r="D28" s="114" t="s">
        <v>213</v>
      </c>
      <c r="E28" s="114" t="s">
        <v>407</v>
      </c>
      <c r="F28" s="114" t="s">
        <v>408</v>
      </c>
      <c r="G28" s="114" t="s">
        <v>409</v>
      </c>
      <c r="H28" s="115">
        <v>4890</v>
      </c>
      <c r="I28" s="115">
        <v>0</v>
      </c>
      <c r="J28" s="115">
        <v>0</v>
      </c>
      <c r="K28" s="115">
        <v>384.96</v>
      </c>
      <c r="L28" s="115">
        <v>96.24</v>
      </c>
      <c r="M28" s="115">
        <v>24.06</v>
      </c>
      <c r="N28" s="115">
        <v>0</v>
      </c>
      <c r="O28" s="115">
        <v>0</v>
      </c>
      <c r="P28" s="115">
        <v>0</v>
      </c>
      <c r="Q28" s="115">
        <v>0</v>
      </c>
      <c r="R28" s="115">
        <v>0</v>
      </c>
      <c r="S28" s="115">
        <v>62661.83</v>
      </c>
      <c r="T28" s="115">
        <v>0</v>
      </c>
      <c r="U28" s="115">
        <v>55000</v>
      </c>
      <c r="V28" s="115">
        <v>3650.97</v>
      </c>
      <c r="W28" s="115">
        <v>0</v>
      </c>
      <c r="X28" s="115">
        <v>0</v>
      </c>
      <c r="Y28" s="115">
        <v>0</v>
      </c>
      <c r="Z28" s="115">
        <v>0</v>
      </c>
      <c r="AA28" s="115">
        <v>0</v>
      </c>
      <c r="AB28" s="115">
        <v>0</v>
      </c>
      <c r="AC28" s="115">
        <v>0</v>
      </c>
      <c r="AD28" s="115">
        <v>1500</v>
      </c>
      <c r="AE28" s="115">
        <v>0</v>
      </c>
      <c r="AF28" s="115">
        <v>0</v>
      </c>
      <c r="AG28" s="115">
        <v>0</v>
      </c>
      <c r="AH28" s="115">
        <v>0</v>
      </c>
      <c r="AI28" s="115">
        <v>0</v>
      </c>
      <c r="AJ28" s="115">
        <v>2510.86</v>
      </c>
      <c r="AK28" s="116">
        <v>0.03</v>
      </c>
      <c r="AL28" s="115">
        <v>0</v>
      </c>
      <c r="AM28" s="115">
        <v>75.33</v>
      </c>
      <c r="AN28" s="115">
        <v>0</v>
      </c>
      <c r="AO28" s="115">
        <v>75.33</v>
      </c>
      <c r="AP28" s="115">
        <v>130.93</v>
      </c>
      <c r="AQ28" s="115">
        <v>0</v>
      </c>
      <c r="AR28" s="114" t="s">
        <v>89</v>
      </c>
    </row>
    <row r="29" s="113" customFormat="1" ht="13.5" spans="1:44">
      <c r="A29" s="114" t="s">
        <v>89</v>
      </c>
      <c r="B29" s="114" t="s">
        <v>103</v>
      </c>
      <c r="C29" s="114" t="s">
        <v>406</v>
      </c>
      <c r="D29" s="114" t="s">
        <v>104</v>
      </c>
      <c r="E29" s="114" t="s">
        <v>407</v>
      </c>
      <c r="F29" s="114" t="s">
        <v>408</v>
      </c>
      <c r="G29" s="114" t="s">
        <v>409</v>
      </c>
      <c r="H29" s="115">
        <v>7212.2</v>
      </c>
      <c r="I29" s="115">
        <v>0</v>
      </c>
      <c r="J29" s="115">
        <v>0</v>
      </c>
      <c r="K29" s="115">
        <v>384.96</v>
      </c>
      <c r="L29" s="115">
        <v>96.24</v>
      </c>
      <c r="M29" s="115">
        <v>24.06</v>
      </c>
      <c r="N29" s="115">
        <v>0</v>
      </c>
      <c r="O29" s="115">
        <v>0</v>
      </c>
      <c r="P29" s="115">
        <v>0</v>
      </c>
      <c r="Q29" s="115">
        <v>0</v>
      </c>
      <c r="R29" s="115">
        <v>0</v>
      </c>
      <c r="S29" s="115">
        <v>46826.11</v>
      </c>
      <c r="T29" s="115">
        <v>0</v>
      </c>
      <c r="U29" s="115">
        <v>45000</v>
      </c>
      <c r="V29" s="115">
        <v>1910.79</v>
      </c>
      <c r="W29" s="115">
        <v>0</v>
      </c>
      <c r="X29" s="115">
        <v>0</v>
      </c>
      <c r="Y29" s="115">
        <v>0</v>
      </c>
      <c r="Z29" s="115">
        <v>0</v>
      </c>
      <c r="AA29" s="115">
        <v>0</v>
      </c>
      <c r="AB29" s="115">
        <v>0</v>
      </c>
      <c r="AC29" s="115">
        <v>0</v>
      </c>
      <c r="AD29" s="115">
        <v>600</v>
      </c>
      <c r="AE29" s="115">
        <v>0</v>
      </c>
      <c r="AF29" s="115">
        <v>0</v>
      </c>
      <c r="AG29" s="115">
        <v>0</v>
      </c>
      <c r="AH29" s="115">
        <v>0</v>
      </c>
      <c r="AI29" s="115">
        <v>0</v>
      </c>
      <c r="AJ29" s="115">
        <v>0</v>
      </c>
      <c r="AK29" s="116">
        <v>0.03</v>
      </c>
      <c r="AL29" s="115">
        <v>0</v>
      </c>
      <c r="AM29" s="115">
        <v>0</v>
      </c>
      <c r="AN29" s="115">
        <v>0</v>
      </c>
      <c r="AO29" s="115">
        <v>0</v>
      </c>
      <c r="AP29" s="115">
        <v>0</v>
      </c>
      <c r="AQ29" s="115">
        <v>0</v>
      </c>
      <c r="AR29" s="114" t="s">
        <v>89</v>
      </c>
    </row>
    <row r="30" s="113" customFormat="1" ht="13.5" spans="1:44">
      <c r="A30" s="114" t="s">
        <v>89</v>
      </c>
      <c r="B30" s="114" t="s">
        <v>136</v>
      </c>
      <c r="C30" s="114" t="s">
        <v>406</v>
      </c>
      <c r="D30" s="114" t="s">
        <v>137</v>
      </c>
      <c r="E30" s="114" t="s">
        <v>407</v>
      </c>
      <c r="F30" s="114" t="s">
        <v>408</v>
      </c>
      <c r="G30" s="114" t="s">
        <v>409</v>
      </c>
      <c r="H30" s="115">
        <v>8000</v>
      </c>
      <c r="I30" s="115">
        <v>0</v>
      </c>
      <c r="J30" s="115">
        <v>0</v>
      </c>
      <c r="K30" s="115">
        <v>384.96</v>
      </c>
      <c r="L30" s="115">
        <v>96.24</v>
      </c>
      <c r="M30" s="115">
        <v>24.06</v>
      </c>
      <c r="N30" s="115">
        <v>0</v>
      </c>
      <c r="O30" s="115">
        <v>0</v>
      </c>
      <c r="P30" s="115">
        <v>0</v>
      </c>
      <c r="Q30" s="115">
        <v>0</v>
      </c>
      <c r="R30" s="115">
        <v>0</v>
      </c>
      <c r="S30" s="115">
        <v>78133.17</v>
      </c>
      <c r="T30" s="115">
        <v>0</v>
      </c>
      <c r="U30" s="115">
        <v>55000</v>
      </c>
      <c r="V30" s="115">
        <v>3650.97</v>
      </c>
      <c r="W30" s="115">
        <v>0</v>
      </c>
      <c r="X30" s="115">
        <v>0</v>
      </c>
      <c r="Y30" s="115">
        <v>0</v>
      </c>
      <c r="Z30" s="115">
        <v>16500</v>
      </c>
      <c r="AA30" s="115">
        <v>0</v>
      </c>
      <c r="AB30" s="115">
        <v>0</v>
      </c>
      <c r="AC30" s="115">
        <v>0</v>
      </c>
      <c r="AD30" s="115">
        <v>1500</v>
      </c>
      <c r="AE30" s="115">
        <v>0</v>
      </c>
      <c r="AF30" s="115">
        <v>0</v>
      </c>
      <c r="AG30" s="115">
        <v>0</v>
      </c>
      <c r="AH30" s="115">
        <v>0</v>
      </c>
      <c r="AI30" s="115">
        <v>0</v>
      </c>
      <c r="AJ30" s="115">
        <v>1482.2</v>
      </c>
      <c r="AK30" s="116">
        <v>0.03</v>
      </c>
      <c r="AL30" s="115">
        <v>0</v>
      </c>
      <c r="AM30" s="115">
        <v>44.47</v>
      </c>
      <c r="AN30" s="115">
        <v>0</v>
      </c>
      <c r="AO30" s="115">
        <v>44.47</v>
      </c>
      <c r="AP30" s="115">
        <v>103.98</v>
      </c>
      <c r="AQ30" s="115">
        <v>0</v>
      </c>
      <c r="AR30" s="114" t="s">
        <v>89</v>
      </c>
    </row>
    <row r="31" s="113" customFormat="1" ht="13.5" spans="1:44">
      <c r="A31" s="114" t="s">
        <v>89</v>
      </c>
      <c r="B31" s="114" t="s">
        <v>148</v>
      </c>
      <c r="C31" s="114" t="s">
        <v>406</v>
      </c>
      <c r="D31" s="114" t="s">
        <v>149</v>
      </c>
      <c r="E31" s="114" t="s">
        <v>407</v>
      </c>
      <c r="F31" s="114" t="s">
        <v>408</v>
      </c>
      <c r="G31" s="114" t="s">
        <v>409</v>
      </c>
      <c r="H31" s="115">
        <v>7300</v>
      </c>
      <c r="I31" s="115">
        <v>0</v>
      </c>
      <c r="J31" s="115">
        <v>0</v>
      </c>
      <c r="K31" s="115">
        <v>384.96</v>
      </c>
      <c r="L31" s="115">
        <v>96.24</v>
      </c>
      <c r="M31" s="115">
        <v>24.06</v>
      </c>
      <c r="N31" s="115">
        <v>0</v>
      </c>
      <c r="O31" s="115">
        <v>0</v>
      </c>
      <c r="P31" s="115">
        <v>0</v>
      </c>
      <c r="Q31" s="115">
        <v>0</v>
      </c>
      <c r="R31" s="115">
        <v>0</v>
      </c>
      <c r="S31" s="115">
        <v>66886.94</v>
      </c>
      <c r="T31" s="115">
        <v>0</v>
      </c>
      <c r="U31" s="115">
        <v>55000</v>
      </c>
      <c r="V31" s="115">
        <v>3182.46</v>
      </c>
      <c r="W31" s="115">
        <v>0</v>
      </c>
      <c r="X31" s="115">
        <v>0</v>
      </c>
      <c r="Y31" s="115">
        <v>0</v>
      </c>
      <c r="Z31" s="115">
        <v>0</v>
      </c>
      <c r="AA31" s="115">
        <v>0</v>
      </c>
      <c r="AB31" s="115">
        <v>0</v>
      </c>
      <c r="AC31" s="115">
        <v>0</v>
      </c>
      <c r="AD31" s="115">
        <v>1200</v>
      </c>
      <c r="AE31" s="115">
        <v>0</v>
      </c>
      <c r="AF31" s="115">
        <v>0</v>
      </c>
      <c r="AG31" s="115">
        <v>0</v>
      </c>
      <c r="AH31" s="115">
        <v>0</v>
      </c>
      <c r="AI31" s="115">
        <v>0</v>
      </c>
      <c r="AJ31" s="115">
        <v>7504.48</v>
      </c>
      <c r="AK31" s="116">
        <v>0.03</v>
      </c>
      <c r="AL31" s="115">
        <v>0</v>
      </c>
      <c r="AM31" s="115">
        <v>225.13</v>
      </c>
      <c r="AN31" s="115">
        <v>0</v>
      </c>
      <c r="AO31" s="115">
        <v>225.13</v>
      </c>
      <c r="AP31" s="115">
        <v>171.29</v>
      </c>
      <c r="AQ31" s="115">
        <v>53.84</v>
      </c>
      <c r="AR31" s="114" t="s">
        <v>89</v>
      </c>
    </row>
    <row r="32" s="113" customFormat="1" ht="13.5" spans="1:44">
      <c r="A32" s="114" t="s">
        <v>89</v>
      </c>
      <c r="B32" s="114" t="s">
        <v>178</v>
      </c>
      <c r="C32" s="114" t="s">
        <v>406</v>
      </c>
      <c r="D32" s="114" t="s">
        <v>179</v>
      </c>
      <c r="E32" s="114" t="s">
        <v>407</v>
      </c>
      <c r="F32" s="114" t="s">
        <v>408</v>
      </c>
      <c r="G32" s="114" t="s">
        <v>409</v>
      </c>
      <c r="H32" s="115">
        <v>6324.5</v>
      </c>
      <c r="I32" s="115">
        <v>0</v>
      </c>
      <c r="J32" s="115">
        <v>0</v>
      </c>
      <c r="K32" s="115">
        <v>384.96</v>
      </c>
      <c r="L32" s="115">
        <v>96.24</v>
      </c>
      <c r="M32" s="115">
        <v>24.06</v>
      </c>
      <c r="N32" s="115">
        <v>0</v>
      </c>
      <c r="O32" s="115">
        <v>0</v>
      </c>
      <c r="P32" s="115">
        <v>0</v>
      </c>
      <c r="Q32" s="115">
        <v>0</v>
      </c>
      <c r="R32" s="115">
        <v>0</v>
      </c>
      <c r="S32" s="115">
        <v>44396.6</v>
      </c>
      <c r="T32" s="115">
        <v>0</v>
      </c>
      <c r="U32" s="115">
        <v>45000</v>
      </c>
      <c r="V32" s="115">
        <v>1910.79</v>
      </c>
      <c r="W32" s="115">
        <v>0</v>
      </c>
      <c r="X32" s="115">
        <v>0</v>
      </c>
      <c r="Y32" s="115">
        <v>0</v>
      </c>
      <c r="Z32" s="115">
        <v>0</v>
      </c>
      <c r="AA32" s="115">
        <v>0</v>
      </c>
      <c r="AB32" s="115">
        <v>0</v>
      </c>
      <c r="AC32" s="115">
        <v>0</v>
      </c>
      <c r="AD32" s="115">
        <v>600</v>
      </c>
      <c r="AE32" s="115">
        <v>0</v>
      </c>
      <c r="AF32" s="115">
        <v>0</v>
      </c>
      <c r="AG32" s="115">
        <v>0</v>
      </c>
      <c r="AH32" s="115">
        <v>0</v>
      </c>
      <c r="AI32" s="115">
        <v>0</v>
      </c>
      <c r="AJ32" s="115">
        <v>0</v>
      </c>
      <c r="AK32" s="116">
        <v>0.03</v>
      </c>
      <c r="AL32" s="115">
        <v>0</v>
      </c>
      <c r="AM32" s="115">
        <v>0</v>
      </c>
      <c r="AN32" s="115">
        <v>0</v>
      </c>
      <c r="AO32" s="115">
        <v>0</v>
      </c>
      <c r="AP32" s="115">
        <v>0</v>
      </c>
      <c r="AQ32" s="115">
        <v>0</v>
      </c>
      <c r="AR32" s="114" t="s">
        <v>89</v>
      </c>
    </row>
    <row r="33" s="113" customFormat="1" ht="13.5" spans="1:44">
      <c r="A33" s="114" t="s">
        <v>89</v>
      </c>
      <c r="B33" s="114" t="s">
        <v>81</v>
      </c>
      <c r="C33" s="114" t="s">
        <v>406</v>
      </c>
      <c r="D33" s="114" t="s">
        <v>83</v>
      </c>
      <c r="E33" s="114" t="s">
        <v>407</v>
      </c>
      <c r="F33" s="114" t="s">
        <v>408</v>
      </c>
      <c r="G33" s="114" t="s">
        <v>409</v>
      </c>
      <c r="H33" s="115">
        <v>7145.95</v>
      </c>
      <c r="I33" s="115">
        <v>0</v>
      </c>
      <c r="J33" s="115">
        <v>0</v>
      </c>
      <c r="K33" s="115">
        <v>384.96</v>
      </c>
      <c r="L33" s="115">
        <v>96.24</v>
      </c>
      <c r="M33" s="115">
        <v>24.06</v>
      </c>
      <c r="N33" s="115">
        <v>0</v>
      </c>
      <c r="O33" s="115">
        <v>0</v>
      </c>
      <c r="P33" s="115">
        <v>0</v>
      </c>
      <c r="Q33" s="115">
        <v>0</v>
      </c>
      <c r="R33" s="115">
        <v>0</v>
      </c>
      <c r="S33" s="115">
        <v>67237.15</v>
      </c>
      <c r="T33" s="115">
        <v>0</v>
      </c>
      <c r="U33" s="115">
        <v>55000</v>
      </c>
      <c r="V33" s="115">
        <v>3650.97</v>
      </c>
      <c r="W33" s="115">
        <v>0</v>
      </c>
      <c r="X33" s="115">
        <v>0</v>
      </c>
      <c r="Y33" s="115">
        <v>0</v>
      </c>
      <c r="Z33" s="115">
        <v>0</v>
      </c>
      <c r="AA33" s="115">
        <v>0</v>
      </c>
      <c r="AB33" s="115">
        <v>0</v>
      </c>
      <c r="AC33" s="115">
        <v>0</v>
      </c>
      <c r="AD33" s="115">
        <v>1500</v>
      </c>
      <c r="AE33" s="115">
        <v>0</v>
      </c>
      <c r="AF33" s="115">
        <v>0</v>
      </c>
      <c r="AG33" s="115">
        <v>0</v>
      </c>
      <c r="AH33" s="115">
        <v>0</v>
      </c>
      <c r="AI33" s="115">
        <v>0</v>
      </c>
      <c r="AJ33" s="115">
        <v>7086.18</v>
      </c>
      <c r="AK33" s="116">
        <v>0.03</v>
      </c>
      <c r="AL33" s="115">
        <v>0</v>
      </c>
      <c r="AM33" s="115">
        <v>212.59</v>
      </c>
      <c r="AN33" s="115">
        <v>0</v>
      </c>
      <c r="AO33" s="115">
        <v>212.59</v>
      </c>
      <c r="AP33" s="115">
        <v>163.36</v>
      </c>
      <c r="AQ33" s="115">
        <v>49.23</v>
      </c>
      <c r="AR33" s="114" t="s">
        <v>89</v>
      </c>
    </row>
    <row r="34" s="113" customFormat="1" ht="13.5" spans="1:44">
      <c r="A34" s="114" t="s">
        <v>89</v>
      </c>
      <c r="B34" s="114" t="s">
        <v>175</v>
      </c>
      <c r="C34" s="114" t="s">
        <v>406</v>
      </c>
      <c r="D34" s="114" t="s">
        <v>176</v>
      </c>
      <c r="E34" s="114" t="s">
        <v>407</v>
      </c>
      <c r="F34" s="114" t="s">
        <v>408</v>
      </c>
      <c r="G34" s="114" t="s">
        <v>409</v>
      </c>
      <c r="H34" s="115">
        <v>5871.79</v>
      </c>
      <c r="I34" s="115">
        <v>0</v>
      </c>
      <c r="J34" s="115">
        <v>0</v>
      </c>
      <c r="K34" s="115">
        <v>384.96</v>
      </c>
      <c r="L34" s="115">
        <v>96.24</v>
      </c>
      <c r="M34" s="115">
        <v>24.06</v>
      </c>
      <c r="N34" s="115">
        <v>0</v>
      </c>
      <c r="O34" s="115">
        <v>0</v>
      </c>
      <c r="P34" s="115">
        <v>0</v>
      </c>
      <c r="Q34" s="115">
        <v>0</v>
      </c>
      <c r="R34" s="115">
        <v>0</v>
      </c>
      <c r="S34" s="115">
        <v>43963.27</v>
      </c>
      <c r="T34" s="115">
        <v>0</v>
      </c>
      <c r="U34" s="115">
        <v>50000</v>
      </c>
      <c r="V34" s="115">
        <v>1910.79</v>
      </c>
      <c r="W34" s="115">
        <v>0</v>
      </c>
      <c r="X34" s="115">
        <v>0</v>
      </c>
      <c r="Y34" s="115">
        <v>0</v>
      </c>
      <c r="Z34" s="115">
        <v>0</v>
      </c>
      <c r="AA34" s="115">
        <v>0</v>
      </c>
      <c r="AB34" s="115">
        <v>0</v>
      </c>
      <c r="AC34" s="115">
        <v>0</v>
      </c>
      <c r="AD34" s="115">
        <v>600</v>
      </c>
      <c r="AE34" s="115">
        <v>0</v>
      </c>
      <c r="AF34" s="115">
        <v>0</v>
      </c>
      <c r="AG34" s="115">
        <v>0</v>
      </c>
      <c r="AH34" s="115">
        <v>0</v>
      </c>
      <c r="AI34" s="115">
        <v>0</v>
      </c>
      <c r="AJ34" s="115">
        <v>0</v>
      </c>
      <c r="AK34" s="116">
        <v>0.03</v>
      </c>
      <c r="AL34" s="115">
        <v>0</v>
      </c>
      <c r="AM34" s="115">
        <v>0</v>
      </c>
      <c r="AN34" s="115">
        <v>0</v>
      </c>
      <c r="AO34" s="115">
        <v>0</v>
      </c>
      <c r="AP34" s="115">
        <v>0</v>
      </c>
      <c r="AQ34" s="115">
        <v>0</v>
      </c>
      <c r="AR34" s="114" t="s">
        <v>89</v>
      </c>
    </row>
    <row r="35" s="113" customFormat="1" ht="13.5" spans="1:44">
      <c r="A35" s="114" t="s">
        <v>89</v>
      </c>
      <c r="B35" s="114" t="s">
        <v>156</v>
      </c>
      <c r="C35" s="114" t="s">
        <v>406</v>
      </c>
      <c r="D35" s="114" t="s">
        <v>157</v>
      </c>
      <c r="E35" s="114" t="s">
        <v>407</v>
      </c>
      <c r="F35" s="114" t="s">
        <v>408</v>
      </c>
      <c r="G35" s="114" t="s">
        <v>409</v>
      </c>
      <c r="H35" s="115">
        <v>12668.82</v>
      </c>
      <c r="I35" s="115">
        <v>0</v>
      </c>
      <c r="J35" s="115">
        <v>0</v>
      </c>
      <c r="K35" s="115">
        <v>384.96</v>
      </c>
      <c r="L35" s="115">
        <v>96.24</v>
      </c>
      <c r="M35" s="115">
        <v>24.06</v>
      </c>
      <c r="N35" s="115">
        <v>0</v>
      </c>
      <c r="O35" s="115">
        <v>0</v>
      </c>
      <c r="P35" s="115">
        <v>0</v>
      </c>
      <c r="Q35" s="115">
        <v>0</v>
      </c>
      <c r="R35" s="115">
        <v>0</v>
      </c>
      <c r="S35" s="115">
        <v>90327.67</v>
      </c>
      <c r="T35" s="115">
        <v>0</v>
      </c>
      <c r="U35" s="115">
        <v>45000</v>
      </c>
      <c r="V35" s="115">
        <v>1732.31</v>
      </c>
      <c r="W35" s="115">
        <v>0</v>
      </c>
      <c r="X35" s="115">
        <v>0</v>
      </c>
      <c r="Y35" s="115">
        <v>0</v>
      </c>
      <c r="Z35" s="115">
        <v>0</v>
      </c>
      <c r="AA35" s="115">
        <v>0</v>
      </c>
      <c r="AB35" s="115">
        <v>0</v>
      </c>
      <c r="AC35" s="115">
        <v>0</v>
      </c>
      <c r="AD35" s="115">
        <v>600</v>
      </c>
      <c r="AE35" s="115">
        <v>0</v>
      </c>
      <c r="AF35" s="115">
        <v>0</v>
      </c>
      <c r="AG35" s="115">
        <v>0</v>
      </c>
      <c r="AH35" s="115">
        <v>0</v>
      </c>
      <c r="AI35" s="115">
        <v>0</v>
      </c>
      <c r="AJ35" s="115">
        <v>42995.36</v>
      </c>
      <c r="AK35" s="116">
        <v>0.1</v>
      </c>
      <c r="AL35" s="115">
        <v>2520</v>
      </c>
      <c r="AM35" s="115">
        <v>1779.54</v>
      </c>
      <c r="AN35" s="115">
        <v>0</v>
      </c>
      <c r="AO35" s="115">
        <v>1779.54</v>
      </c>
      <c r="AP35" s="115">
        <v>1074.95</v>
      </c>
      <c r="AQ35" s="115">
        <v>704.59</v>
      </c>
      <c r="AR35" s="114" t="s">
        <v>89</v>
      </c>
    </row>
    <row r="36" s="113" customFormat="1" ht="13.5" spans="1:44">
      <c r="A36" s="114" t="s">
        <v>89</v>
      </c>
      <c r="B36" s="114" t="s">
        <v>107</v>
      </c>
      <c r="C36" s="114" t="s">
        <v>406</v>
      </c>
      <c r="D36" s="114" t="s">
        <v>108</v>
      </c>
      <c r="E36" s="114" t="s">
        <v>407</v>
      </c>
      <c r="F36" s="114" t="s">
        <v>408</v>
      </c>
      <c r="G36" s="114" t="s">
        <v>409</v>
      </c>
      <c r="H36" s="115">
        <v>5892.2</v>
      </c>
      <c r="I36" s="115">
        <v>0</v>
      </c>
      <c r="J36" s="115">
        <v>0</v>
      </c>
      <c r="K36" s="115">
        <v>384.96</v>
      </c>
      <c r="L36" s="115">
        <v>96.24</v>
      </c>
      <c r="M36" s="115">
        <v>24.06</v>
      </c>
      <c r="N36" s="115">
        <v>0</v>
      </c>
      <c r="O36" s="115">
        <v>0</v>
      </c>
      <c r="P36" s="115">
        <v>0</v>
      </c>
      <c r="Q36" s="115">
        <v>0</v>
      </c>
      <c r="R36" s="115">
        <v>0</v>
      </c>
      <c r="S36" s="115">
        <v>19197.63</v>
      </c>
      <c r="T36" s="115">
        <v>0</v>
      </c>
      <c r="U36" s="115">
        <v>25000</v>
      </c>
      <c r="V36" s="115">
        <v>505.26</v>
      </c>
      <c r="W36" s="115">
        <v>0</v>
      </c>
      <c r="X36" s="115">
        <v>0</v>
      </c>
      <c r="Y36" s="115">
        <v>0</v>
      </c>
      <c r="Z36" s="115">
        <v>0</v>
      </c>
      <c r="AA36" s="115">
        <v>0</v>
      </c>
      <c r="AB36" s="115">
        <v>0</v>
      </c>
      <c r="AC36" s="115">
        <v>0</v>
      </c>
      <c r="AD36" s="115">
        <v>0</v>
      </c>
      <c r="AE36" s="115">
        <v>0</v>
      </c>
      <c r="AF36" s="115">
        <v>0</v>
      </c>
      <c r="AG36" s="115">
        <v>0</v>
      </c>
      <c r="AH36" s="115">
        <v>0</v>
      </c>
      <c r="AI36" s="115">
        <v>0</v>
      </c>
      <c r="AJ36" s="115">
        <v>0</v>
      </c>
      <c r="AK36" s="116">
        <v>0.03</v>
      </c>
      <c r="AL36" s="115">
        <v>0</v>
      </c>
      <c r="AM36" s="115">
        <v>0</v>
      </c>
      <c r="AN36" s="115">
        <v>0</v>
      </c>
      <c r="AO36" s="115">
        <v>0</v>
      </c>
      <c r="AP36" s="115">
        <v>0</v>
      </c>
      <c r="AQ36" s="115">
        <v>0</v>
      </c>
      <c r="AR36" s="114" t="s">
        <v>89</v>
      </c>
    </row>
    <row r="37" s="113" customFormat="1" ht="13.5" spans="1:44">
      <c r="A37" s="114" t="s">
        <v>89</v>
      </c>
      <c r="B37" s="114" t="s">
        <v>209</v>
      </c>
      <c r="C37" s="114" t="s">
        <v>406</v>
      </c>
      <c r="D37" s="114" t="s">
        <v>210</v>
      </c>
      <c r="E37" s="114" t="s">
        <v>407</v>
      </c>
      <c r="F37" s="114" t="s">
        <v>408</v>
      </c>
      <c r="G37" s="114" t="s">
        <v>409</v>
      </c>
      <c r="H37" s="115">
        <v>8225</v>
      </c>
      <c r="I37" s="115">
        <v>0</v>
      </c>
      <c r="J37" s="115">
        <v>0</v>
      </c>
      <c r="K37" s="115">
        <v>384.96</v>
      </c>
      <c r="L37" s="115">
        <v>96.24</v>
      </c>
      <c r="M37" s="115">
        <v>24.06</v>
      </c>
      <c r="N37" s="115">
        <v>299</v>
      </c>
      <c r="O37" s="115">
        <v>0</v>
      </c>
      <c r="P37" s="115">
        <v>0</v>
      </c>
      <c r="Q37" s="115">
        <v>0</v>
      </c>
      <c r="R37" s="115">
        <v>0</v>
      </c>
      <c r="S37" s="115">
        <v>86126.19</v>
      </c>
      <c r="T37" s="115">
        <v>0</v>
      </c>
      <c r="U37" s="115">
        <v>55000</v>
      </c>
      <c r="V37" s="115">
        <v>5593.97</v>
      </c>
      <c r="W37" s="115">
        <v>0</v>
      </c>
      <c r="X37" s="115">
        <v>0</v>
      </c>
      <c r="Y37" s="115">
        <v>0</v>
      </c>
      <c r="Z37" s="115">
        <v>0</v>
      </c>
      <c r="AA37" s="115">
        <v>0</v>
      </c>
      <c r="AB37" s="115">
        <v>0</v>
      </c>
      <c r="AC37" s="115">
        <v>0</v>
      </c>
      <c r="AD37" s="115">
        <v>1500</v>
      </c>
      <c r="AE37" s="115">
        <v>0</v>
      </c>
      <c r="AF37" s="115">
        <v>0</v>
      </c>
      <c r="AG37" s="115">
        <v>0</v>
      </c>
      <c r="AH37" s="115">
        <v>0</v>
      </c>
      <c r="AI37" s="115">
        <v>0</v>
      </c>
      <c r="AJ37" s="115">
        <v>24032.22</v>
      </c>
      <c r="AK37" s="116">
        <v>0.03</v>
      </c>
      <c r="AL37" s="115">
        <v>0</v>
      </c>
      <c r="AM37" s="115">
        <v>720.97</v>
      </c>
      <c r="AN37" s="115">
        <v>0</v>
      </c>
      <c r="AO37" s="115">
        <v>720.97</v>
      </c>
      <c r="AP37" s="115">
        <v>648.34</v>
      </c>
      <c r="AQ37" s="115">
        <v>72.63</v>
      </c>
      <c r="AR37" s="114" t="s">
        <v>89</v>
      </c>
    </row>
    <row r="38" s="113" customFormat="1" ht="13.5" spans="1:44">
      <c r="A38" s="114" t="s">
        <v>89</v>
      </c>
      <c r="B38" s="114" t="s">
        <v>117</v>
      </c>
      <c r="C38" s="114" t="s">
        <v>406</v>
      </c>
      <c r="D38" s="114" t="s">
        <v>118</v>
      </c>
      <c r="E38" s="114" t="s">
        <v>407</v>
      </c>
      <c r="F38" s="114" t="s">
        <v>408</v>
      </c>
      <c r="G38" s="114" t="s">
        <v>409</v>
      </c>
      <c r="H38" s="115">
        <v>2183.5</v>
      </c>
      <c r="I38" s="115">
        <v>0</v>
      </c>
      <c r="J38" s="115">
        <v>0</v>
      </c>
      <c r="K38" s="115">
        <v>0</v>
      </c>
      <c r="L38" s="115">
        <v>0</v>
      </c>
      <c r="M38" s="115">
        <v>0</v>
      </c>
      <c r="N38" s="115">
        <v>0</v>
      </c>
      <c r="O38" s="115">
        <v>0</v>
      </c>
      <c r="P38" s="115">
        <v>0</v>
      </c>
      <c r="Q38" s="115">
        <v>0</v>
      </c>
      <c r="R38" s="115">
        <v>0</v>
      </c>
      <c r="S38" s="115">
        <v>2183.5</v>
      </c>
      <c r="T38" s="115">
        <v>0</v>
      </c>
      <c r="U38" s="115">
        <v>5000</v>
      </c>
      <c r="V38" s="115">
        <v>0</v>
      </c>
      <c r="W38" s="115">
        <v>0</v>
      </c>
      <c r="X38" s="115">
        <v>0</v>
      </c>
      <c r="Y38" s="115">
        <v>0</v>
      </c>
      <c r="Z38" s="115">
        <v>0</v>
      </c>
      <c r="AA38" s="115">
        <v>0</v>
      </c>
      <c r="AB38" s="115">
        <v>0</v>
      </c>
      <c r="AC38" s="115">
        <v>0</v>
      </c>
      <c r="AD38" s="115">
        <v>0</v>
      </c>
      <c r="AE38" s="115">
        <v>0</v>
      </c>
      <c r="AF38" s="115">
        <v>0</v>
      </c>
      <c r="AG38" s="115">
        <v>0</v>
      </c>
      <c r="AH38" s="115">
        <v>0</v>
      </c>
      <c r="AI38" s="115">
        <v>0</v>
      </c>
      <c r="AJ38" s="115">
        <v>0</v>
      </c>
      <c r="AK38" s="116">
        <v>0.03</v>
      </c>
      <c r="AL38" s="115">
        <v>0</v>
      </c>
      <c r="AM38" s="115">
        <v>0</v>
      </c>
      <c r="AN38" s="115">
        <v>0</v>
      </c>
      <c r="AO38" s="115">
        <v>0</v>
      </c>
      <c r="AP38" s="115">
        <v>0</v>
      </c>
      <c r="AQ38" s="115">
        <v>0</v>
      </c>
      <c r="AR38" s="114" t="s">
        <v>89</v>
      </c>
    </row>
    <row r="39" s="113" customFormat="1" ht="13.5" spans="1:44">
      <c r="A39" s="114" t="s">
        <v>89</v>
      </c>
      <c r="B39" s="114" t="s">
        <v>172</v>
      </c>
      <c r="C39" s="114" t="s">
        <v>406</v>
      </c>
      <c r="D39" s="114" t="s">
        <v>173</v>
      </c>
      <c r="E39" s="114" t="s">
        <v>407</v>
      </c>
      <c r="F39" s="114" t="s">
        <v>408</v>
      </c>
      <c r="G39" s="114" t="s">
        <v>409</v>
      </c>
      <c r="H39" s="115">
        <v>6778.83</v>
      </c>
      <c r="I39" s="115">
        <v>0</v>
      </c>
      <c r="J39" s="115">
        <v>0</v>
      </c>
      <c r="K39" s="115">
        <v>384.96</v>
      </c>
      <c r="L39" s="115">
        <v>96.24</v>
      </c>
      <c r="M39" s="115">
        <v>24.06</v>
      </c>
      <c r="N39" s="115">
        <v>0</v>
      </c>
      <c r="O39" s="115">
        <v>0</v>
      </c>
      <c r="P39" s="115">
        <v>0</v>
      </c>
      <c r="Q39" s="115">
        <v>0</v>
      </c>
      <c r="R39" s="115">
        <v>0</v>
      </c>
      <c r="S39" s="115">
        <v>62360.56</v>
      </c>
      <c r="T39" s="115">
        <v>0</v>
      </c>
      <c r="U39" s="115">
        <v>55000</v>
      </c>
      <c r="V39" s="115">
        <v>3182.46</v>
      </c>
      <c r="W39" s="115">
        <v>0</v>
      </c>
      <c r="X39" s="115">
        <v>0</v>
      </c>
      <c r="Y39" s="115">
        <v>0</v>
      </c>
      <c r="Z39" s="115">
        <v>0</v>
      </c>
      <c r="AA39" s="115">
        <v>0</v>
      </c>
      <c r="AB39" s="115">
        <v>0</v>
      </c>
      <c r="AC39" s="115">
        <v>0</v>
      </c>
      <c r="AD39" s="115">
        <v>1500</v>
      </c>
      <c r="AE39" s="115">
        <v>0</v>
      </c>
      <c r="AF39" s="115">
        <v>0</v>
      </c>
      <c r="AG39" s="115">
        <v>0</v>
      </c>
      <c r="AH39" s="115">
        <v>0</v>
      </c>
      <c r="AI39" s="115">
        <v>0</v>
      </c>
      <c r="AJ39" s="115">
        <v>2678.1</v>
      </c>
      <c r="AK39" s="116">
        <v>0.03</v>
      </c>
      <c r="AL39" s="115">
        <v>0</v>
      </c>
      <c r="AM39" s="115">
        <v>80.34</v>
      </c>
      <c r="AN39" s="115">
        <v>0</v>
      </c>
      <c r="AO39" s="115">
        <v>80.34</v>
      </c>
      <c r="AP39" s="115">
        <v>42.14</v>
      </c>
      <c r="AQ39" s="115">
        <v>38.2</v>
      </c>
      <c r="AR39" s="114" t="s">
        <v>89</v>
      </c>
    </row>
    <row r="40" s="113" customFormat="1" ht="13.5" spans="1:44">
      <c r="A40" s="114" t="s">
        <v>89</v>
      </c>
      <c r="B40" s="114" t="s">
        <v>75</v>
      </c>
      <c r="C40" s="114" t="s">
        <v>406</v>
      </c>
      <c r="D40" s="114" t="s">
        <v>76</v>
      </c>
      <c r="E40" s="114" t="s">
        <v>407</v>
      </c>
      <c r="F40" s="114" t="s">
        <v>408</v>
      </c>
      <c r="G40" s="114" t="s">
        <v>409</v>
      </c>
      <c r="H40" s="115">
        <v>6241.4</v>
      </c>
      <c r="I40" s="115">
        <v>0</v>
      </c>
      <c r="J40" s="115">
        <v>0</v>
      </c>
      <c r="K40" s="115">
        <v>384.96</v>
      </c>
      <c r="L40" s="115">
        <v>96.24</v>
      </c>
      <c r="M40" s="115">
        <v>24.06</v>
      </c>
      <c r="N40" s="115">
        <v>0</v>
      </c>
      <c r="O40" s="115">
        <v>0</v>
      </c>
      <c r="P40" s="115">
        <v>0</v>
      </c>
      <c r="Q40" s="115">
        <v>0</v>
      </c>
      <c r="R40" s="115">
        <v>0</v>
      </c>
      <c r="S40" s="115">
        <v>74778.09</v>
      </c>
      <c r="T40" s="115">
        <v>0</v>
      </c>
      <c r="U40" s="115">
        <v>55000</v>
      </c>
      <c r="V40" s="115">
        <v>3650.97</v>
      </c>
      <c r="W40" s="115">
        <v>0</v>
      </c>
      <c r="X40" s="115">
        <v>0</v>
      </c>
      <c r="Y40" s="115">
        <v>0</v>
      </c>
      <c r="Z40" s="115">
        <v>0</v>
      </c>
      <c r="AA40" s="115">
        <v>0</v>
      </c>
      <c r="AB40" s="115">
        <v>0</v>
      </c>
      <c r="AC40" s="115">
        <v>0</v>
      </c>
      <c r="AD40" s="115">
        <v>1500</v>
      </c>
      <c r="AE40" s="115">
        <v>0</v>
      </c>
      <c r="AF40" s="115">
        <v>0</v>
      </c>
      <c r="AG40" s="115">
        <v>0</v>
      </c>
      <c r="AH40" s="115">
        <v>0</v>
      </c>
      <c r="AI40" s="115">
        <v>0</v>
      </c>
      <c r="AJ40" s="115">
        <v>14627.12</v>
      </c>
      <c r="AK40" s="116">
        <v>0.03</v>
      </c>
      <c r="AL40" s="115">
        <v>0</v>
      </c>
      <c r="AM40" s="115">
        <v>438.81</v>
      </c>
      <c r="AN40" s="115">
        <v>0</v>
      </c>
      <c r="AO40" s="115">
        <v>438.81</v>
      </c>
      <c r="AP40" s="115">
        <v>416.73</v>
      </c>
      <c r="AQ40" s="115">
        <v>22.08</v>
      </c>
      <c r="AR40" s="114" t="s">
        <v>89</v>
      </c>
    </row>
    <row r="41" s="113" customFormat="1" ht="13.5" spans="1:44">
      <c r="A41" s="114" t="s">
        <v>89</v>
      </c>
      <c r="B41" s="114" t="s">
        <v>139</v>
      </c>
      <c r="C41" s="114" t="s">
        <v>406</v>
      </c>
      <c r="D41" s="114" t="s">
        <v>140</v>
      </c>
      <c r="E41" s="114" t="s">
        <v>407</v>
      </c>
      <c r="F41" s="114" t="s">
        <v>408</v>
      </c>
      <c r="G41" s="114" t="s">
        <v>409</v>
      </c>
      <c r="H41" s="115">
        <v>7300</v>
      </c>
      <c r="I41" s="115">
        <v>0</v>
      </c>
      <c r="J41" s="115">
        <v>0</v>
      </c>
      <c r="K41" s="115">
        <v>384.96</v>
      </c>
      <c r="L41" s="115">
        <v>96.24</v>
      </c>
      <c r="M41" s="115">
        <v>24.06</v>
      </c>
      <c r="N41" s="115">
        <v>0</v>
      </c>
      <c r="O41" s="115">
        <v>0</v>
      </c>
      <c r="P41" s="115">
        <v>0</v>
      </c>
      <c r="Q41" s="115">
        <v>0</v>
      </c>
      <c r="R41" s="115">
        <v>0</v>
      </c>
      <c r="S41" s="115">
        <v>65186.29</v>
      </c>
      <c r="T41" s="115">
        <v>0</v>
      </c>
      <c r="U41" s="115">
        <v>55000</v>
      </c>
      <c r="V41" s="115">
        <v>3182.46</v>
      </c>
      <c r="W41" s="115">
        <v>0</v>
      </c>
      <c r="X41" s="115">
        <v>0</v>
      </c>
      <c r="Y41" s="115">
        <v>0</v>
      </c>
      <c r="Z41" s="115">
        <v>0</v>
      </c>
      <c r="AA41" s="115">
        <v>0</v>
      </c>
      <c r="AB41" s="115">
        <v>0</v>
      </c>
      <c r="AC41" s="115">
        <v>0</v>
      </c>
      <c r="AD41" s="115">
        <v>1200</v>
      </c>
      <c r="AE41" s="115">
        <v>0</v>
      </c>
      <c r="AF41" s="115">
        <v>0</v>
      </c>
      <c r="AG41" s="115">
        <v>0</v>
      </c>
      <c r="AH41" s="115">
        <v>0</v>
      </c>
      <c r="AI41" s="115">
        <v>0</v>
      </c>
      <c r="AJ41" s="115">
        <v>5803.83</v>
      </c>
      <c r="AK41" s="116">
        <v>0.03</v>
      </c>
      <c r="AL41" s="115">
        <v>0</v>
      </c>
      <c r="AM41" s="115">
        <v>174.11</v>
      </c>
      <c r="AN41" s="115">
        <v>0</v>
      </c>
      <c r="AO41" s="115">
        <v>174.11</v>
      </c>
      <c r="AP41" s="115">
        <v>120.27</v>
      </c>
      <c r="AQ41" s="115">
        <v>53.84</v>
      </c>
      <c r="AR41" s="114" t="s">
        <v>89</v>
      </c>
    </row>
    <row r="42" s="113" customFormat="1" ht="13.5" spans="1:44">
      <c r="A42" s="114" t="s">
        <v>89</v>
      </c>
      <c r="B42" s="114" t="s">
        <v>68</v>
      </c>
      <c r="C42" s="114" t="s">
        <v>406</v>
      </c>
      <c r="D42" s="114" t="s">
        <v>69</v>
      </c>
      <c r="E42" s="114" t="s">
        <v>407</v>
      </c>
      <c r="F42" s="114" t="s">
        <v>408</v>
      </c>
      <c r="G42" s="114" t="s">
        <v>409</v>
      </c>
      <c r="H42" s="115">
        <v>8150.63</v>
      </c>
      <c r="I42" s="115">
        <v>0</v>
      </c>
      <c r="J42" s="115">
        <v>0</v>
      </c>
      <c r="K42" s="115">
        <v>384.96</v>
      </c>
      <c r="L42" s="115">
        <v>96.24</v>
      </c>
      <c r="M42" s="115">
        <v>24.06</v>
      </c>
      <c r="N42" s="115">
        <v>0</v>
      </c>
      <c r="O42" s="115">
        <v>0</v>
      </c>
      <c r="P42" s="115">
        <v>0</v>
      </c>
      <c r="Q42" s="115">
        <v>0</v>
      </c>
      <c r="R42" s="115">
        <v>0</v>
      </c>
      <c r="S42" s="115">
        <v>87281.83</v>
      </c>
      <c r="T42" s="115">
        <v>0</v>
      </c>
      <c r="U42" s="115">
        <v>55000</v>
      </c>
      <c r="V42" s="115">
        <v>3650.97</v>
      </c>
      <c r="W42" s="115">
        <v>22000</v>
      </c>
      <c r="X42" s="115">
        <v>0</v>
      </c>
      <c r="Y42" s="115">
        <v>0</v>
      </c>
      <c r="Z42" s="115">
        <v>0</v>
      </c>
      <c r="AA42" s="115">
        <v>0</v>
      </c>
      <c r="AB42" s="115">
        <v>0</v>
      </c>
      <c r="AC42" s="115">
        <v>0</v>
      </c>
      <c r="AD42" s="115">
        <v>1500</v>
      </c>
      <c r="AE42" s="115">
        <v>0</v>
      </c>
      <c r="AF42" s="115">
        <v>0</v>
      </c>
      <c r="AG42" s="115">
        <v>0</v>
      </c>
      <c r="AH42" s="115">
        <v>0</v>
      </c>
      <c r="AI42" s="115">
        <v>0</v>
      </c>
      <c r="AJ42" s="115">
        <v>5130.86</v>
      </c>
      <c r="AK42" s="116">
        <v>0.03</v>
      </c>
      <c r="AL42" s="115">
        <v>0</v>
      </c>
      <c r="AM42" s="115">
        <v>153.93</v>
      </c>
      <c r="AN42" s="115">
        <v>0</v>
      </c>
      <c r="AO42" s="115">
        <v>153.93</v>
      </c>
      <c r="AP42" s="115">
        <v>210.19</v>
      </c>
      <c r="AQ42" s="115">
        <v>0</v>
      </c>
      <c r="AR42" s="114" t="s">
        <v>89</v>
      </c>
    </row>
    <row r="43" s="113" customFormat="1" ht="13.5" spans="1:44">
      <c r="A43" s="114" t="s">
        <v>89</v>
      </c>
      <c r="B43" s="114" t="s">
        <v>162</v>
      </c>
      <c r="C43" s="114" t="s">
        <v>406</v>
      </c>
      <c r="D43" s="114" t="s">
        <v>163</v>
      </c>
      <c r="E43" s="114" t="s">
        <v>407</v>
      </c>
      <c r="F43" s="114" t="s">
        <v>408</v>
      </c>
      <c r="G43" s="114" t="s">
        <v>409</v>
      </c>
      <c r="H43" s="115">
        <v>20000</v>
      </c>
      <c r="I43" s="115">
        <v>0</v>
      </c>
      <c r="J43" s="115">
        <v>0</v>
      </c>
      <c r="K43" s="115">
        <v>384.96</v>
      </c>
      <c r="L43" s="115">
        <v>96.24</v>
      </c>
      <c r="M43" s="115">
        <v>24.06</v>
      </c>
      <c r="N43" s="115">
        <v>0</v>
      </c>
      <c r="O43" s="115">
        <v>0</v>
      </c>
      <c r="P43" s="115">
        <v>0</v>
      </c>
      <c r="Q43" s="115">
        <v>0</v>
      </c>
      <c r="R43" s="115">
        <v>0</v>
      </c>
      <c r="S43" s="115">
        <v>97978.96</v>
      </c>
      <c r="T43" s="115">
        <v>0</v>
      </c>
      <c r="U43" s="115">
        <v>25000</v>
      </c>
      <c r="V43" s="115">
        <v>505.26</v>
      </c>
      <c r="W43" s="115">
        <v>10000</v>
      </c>
      <c r="X43" s="115">
        <v>0</v>
      </c>
      <c r="Y43" s="115">
        <v>5000</v>
      </c>
      <c r="Z43" s="115">
        <v>0</v>
      </c>
      <c r="AA43" s="115">
        <v>7500</v>
      </c>
      <c r="AB43" s="115">
        <v>0</v>
      </c>
      <c r="AC43" s="115">
        <v>0</v>
      </c>
      <c r="AD43" s="115">
        <v>0</v>
      </c>
      <c r="AE43" s="115">
        <v>0</v>
      </c>
      <c r="AF43" s="115">
        <v>0</v>
      </c>
      <c r="AG43" s="115">
        <v>0</v>
      </c>
      <c r="AH43" s="115">
        <v>0</v>
      </c>
      <c r="AI43" s="115">
        <v>0</v>
      </c>
      <c r="AJ43" s="115">
        <v>49973.7</v>
      </c>
      <c r="AK43" s="116">
        <v>0.1</v>
      </c>
      <c r="AL43" s="115">
        <v>2520</v>
      </c>
      <c r="AM43" s="115">
        <v>2477.37</v>
      </c>
      <c r="AN43" s="115">
        <v>0</v>
      </c>
      <c r="AO43" s="115">
        <v>2477.37</v>
      </c>
      <c r="AP43" s="115">
        <v>1477.9</v>
      </c>
      <c r="AQ43" s="115">
        <v>999.47</v>
      </c>
      <c r="AR43" s="114" t="s">
        <v>89</v>
      </c>
    </row>
    <row r="44" s="113" customFormat="1" ht="13.5" spans="1:44">
      <c r="A44" s="114" t="s">
        <v>89</v>
      </c>
      <c r="B44" s="114" t="s">
        <v>196</v>
      </c>
      <c r="C44" s="114" t="s">
        <v>406</v>
      </c>
      <c r="D44" s="114" t="s">
        <v>197</v>
      </c>
      <c r="E44" s="114" t="s">
        <v>407</v>
      </c>
      <c r="F44" s="114" t="s">
        <v>408</v>
      </c>
      <c r="G44" s="114" t="s">
        <v>409</v>
      </c>
      <c r="H44" s="115">
        <v>5050</v>
      </c>
      <c r="I44" s="115">
        <v>0</v>
      </c>
      <c r="J44" s="115">
        <v>0</v>
      </c>
      <c r="K44" s="115">
        <v>384.96</v>
      </c>
      <c r="L44" s="115">
        <v>96.24</v>
      </c>
      <c r="M44" s="115">
        <v>24.06</v>
      </c>
      <c r="N44" s="115">
        <v>0</v>
      </c>
      <c r="O44" s="115">
        <v>0</v>
      </c>
      <c r="P44" s="115">
        <v>0</v>
      </c>
      <c r="Q44" s="115">
        <v>0</v>
      </c>
      <c r="R44" s="115">
        <v>0</v>
      </c>
      <c r="S44" s="115">
        <v>53592.54</v>
      </c>
      <c r="T44" s="115">
        <v>0</v>
      </c>
      <c r="U44" s="115">
        <v>60000</v>
      </c>
      <c r="V44" s="115">
        <v>3650.97</v>
      </c>
      <c r="W44" s="115">
        <v>0</v>
      </c>
      <c r="X44" s="115">
        <v>0</v>
      </c>
      <c r="Y44" s="115">
        <v>0</v>
      </c>
      <c r="Z44" s="115">
        <v>0</v>
      </c>
      <c r="AA44" s="115">
        <v>0</v>
      </c>
      <c r="AB44" s="115">
        <v>0</v>
      </c>
      <c r="AC44" s="115">
        <v>0</v>
      </c>
      <c r="AD44" s="115">
        <v>1500</v>
      </c>
      <c r="AE44" s="115">
        <v>0</v>
      </c>
      <c r="AF44" s="115">
        <v>0</v>
      </c>
      <c r="AG44" s="115">
        <v>0</v>
      </c>
      <c r="AH44" s="115">
        <v>0</v>
      </c>
      <c r="AI44" s="115">
        <v>0</v>
      </c>
      <c r="AJ44" s="115">
        <v>0</v>
      </c>
      <c r="AK44" s="116">
        <v>0.03</v>
      </c>
      <c r="AL44" s="115">
        <v>0</v>
      </c>
      <c r="AM44" s="115">
        <v>0</v>
      </c>
      <c r="AN44" s="115">
        <v>0</v>
      </c>
      <c r="AO44" s="115">
        <v>0</v>
      </c>
      <c r="AP44" s="115">
        <v>0</v>
      </c>
      <c r="AQ44" s="115">
        <v>0</v>
      </c>
      <c r="AR44" s="114" t="s">
        <v>411</v>
      </c>
    </row>
    <row r="45" s="113" customFormat="1" ht="13.5" spans="1:44">
      <c r="A45" s="114" t="s">
        <v>89</v>
      </c>
      <c r="B45" s="114" t="s">
        <v>202</v>
      </c>
      <c r="C45" s="114" t="s">
        <v>406</v>
      </c>
      <c r="D45" s="114" t="s">
        <v>203</v>
      </c>
      <c r="E45" s="114" t="s">
        <v>407</v>
      </c>
      <c r="F45" s="114" t="s">
        <v>408</v>
      </c>
      <c r="G45" s="114" t="s">
        <v>409</v>
      </c>
      <c r="H45" s="115">
        <v>5380</v>
      </c>
      <c r="I45" s="115">
        <v>0</v>
      </c>
      <c r="J45" s="115">
        <v>0</v>
      </c>
      <c r="K45" s="115">
        <v>384.96</v>
      </c>
      <c r="L45" s="115">
        <v>96.24</v>
      </c>
      <c r="M45" s="115">
        <v>24.06</v>
      </c>
      <c r="N45" s="115">
        <v>0</v>
      </c>
      <c r="O45" s="115">
        <v>0</v>
      </c>
      <c r="P45" s="115">
        <v>0</v>
      </c>
      <c r="Q45" s="115">
        <v>0</v>
      </c>
      <c r="R45" s="115">
        <v>0</v>
      </c>
      <c r="S45" s="115">
        <v>23787.25</v>
      </c>
      <c r="T45" s="115">
        <v>0</v>
      </c>
      <c r="U45" s="115">
        <v>25000</v>
      </c>
      <c r="V45" s="115">
        <v>505.26</v>
      </c>
      <c r="W45" s="115">
        <v>0</v>
      </c>
      <c r="X45" s="115">
        <v>0</v>
      </c>
      <c r="Y45" s="115">
        <v>0</v>
      </c>
      <c r="Z45" s="115">
        <v>0</v>
      </c>
      <c r="AA45" s="115">
        <v>0</v>
      </c>
      <c r="AB45" s="115">
        <v>0</v>
      </c>
      <c r="AC45" s="115">
        <v>0</v>
      </c>
      <c r="AD45" s="115">
        <v>0</v>
      </c>
      <c r="AE45" s="115">
        <v>0</v>
      </c>
      <c r="AF45" s="115">
        <v>0</v>
      </c>
      <c r="AG45" s="115">
        <v>0</v>
      </c>
      <c r="AH45" s="115">
        <v>0</v>
      </c>
      <c r="AI45" s="115">
        <v>0</v>
      </c>
      <c r="AJ45" s="115">
        <v>0</v>
      </c>
      <c r="AK45" s="116">
        <v>0.03</v>
      </c>
      <c r="AL45" s="115">
        <v>0</v>
      </c>
      <c r="AM45" s="115">
        <v>0</v>
      </c>
      <c r="AN45" s="115">
        <v>0</v>
      </c>
      <c r="AO45" s="115">
        <v>0</v>
      </c>
      <c r="AP45" s="115">
        <v>0</v>
      </c>
      <c r="AQ45" s="115">
        <v>0</v>
      </c>
      <c r="AR45" s="114" t="s">
        <v>89</v>
      </c>
    </row>
    <row r="46" s="113" customFormat="1" ht="13.5" spans="1:44">
      <c r="A46" s="114" t="s">
        <v>89</v>
      </c>
      <c r="B46" s="114" t="s">
        <v>43</v>
      </c>
      <c r="C46" s="114" t="s">
        <v>406</v>
      </c>
      <c r="D46" s="114" t="s">
        <v>44</v>
      </c>
      <c r="E46" s="114" t="s">
        <v>407</v>
      </c>
      <c r="F46" s="114" t="s">
        <v>408</v>
      </c>
      <c r="G46" s="114" t="s">
        <v>409</v>
      </c>
      <c r="H46" s="115">
        <v>5000</v>
      </c>
      <c r="I46" s="115">
        <v>0</v>
      </c>
      <c r="J46" s="115">
        <v>0</v>
      </c>
      <c r="K46" s="115">
        <v>384.96</v>
      </c>
      <c r="L46" s="115">
        <v>96.24</v>
      </c>
      <c r="M46" s="115">
        <v>24.06</v>
      </c>
      <c r="N46" s="115">
        <v>480</v>
      </c>
      <c r="O46" s="115">
        <v>0</v>
      </c>
      <c r="P46" s="115">
        <v>0</v>
      </c>
      <c r="Q46" s="115">
        <v>0</v>
      </c>
      <c r="R46" s="115">
        <v>0</v>
      </c>
      <c r="S46" s="115">
        <v>49889.95</v>
      </c>
      <c r="T46" s="115">
        <v>0</v>
      </c>
      <c r="U46" s="115">
        <v>60000</v>
      </c>
      <c r="V46" s="115">
        <v>7010.97</v>
      </c>
      <c r="W46" s="115">
        <v>0</v>
      </c>
      <c r="X46" s="115">
        <v>0</v>
      </c>
      <c r="Y46" s="115">
        <v>0</v>
      </c>
      <c r="Z46" s="115">
        <v>0</v>
      </c>
      <c r="AA46" s="115">
        <v>0</v>
      </c>
      <c r="AB46" s="115">
        <v>0</v>
      </c>
      <c r="AC46" s="115">
        <v>0</v>
      </c>
      <c r="AD46" s="115">
        <v>1500</v>
      </c>
      <c r="AE46" s="115">
        <v>0</v>
      </c>
      <c r="AF46" s="115">
        <v>0</v>
      </c>
      <c r="AG46" s="115">
        <v>0</v>
      </c>
      <c r="AH46" s="115">
        <v>0</v>
      </c>
      <c r="AI46" s="115">
        <v>0</v>
      </c>
      <c r="AJ46" s="115">
        <v>0</v>
      </c>
      <c r="AK46" s="116">
        <v>0.03</v>
      </c>
      <c r="AL46" s="115">
        <v>0</v>
      </c>
      <c r="AM46" s="115">
        <v>0</v>
      </c>
      <c r="AN46" s="115">
        <v>0</v>
      </c>
      <c r="AO46" s="115">
        <v>0</v>
      </c>
      <c r="AP46" s="115">
        <v>0</v>
      </c>
      <c r="AQ46" s="115">
        <v>0</v>
      </c>
      <c r="AR46" s="114" t="s">
        <v>411</v>
      </c>
    </row>
    <row r="47" s="113" customFormat="1" ht="13.5" spans="1:44">
      <c r="A47" s="114" t="s">
        <v>89</v>
      </c>
      <c r="B47" s="114" t="s">
        <v>129</v>
      </c>
      <c r="C47" s="114" t="s">
        <v>406</v>
      </c>
      <c r="D47" s="114" t="s">
        <v>130</v>
      </c>
      <c r="E47" s="114" t="s">
        <v>407</v>
      </c>
      <c r="F47" s="114" t="s">
        <v>408</v>
      </c>
      <c r="G47" s="114" t="s">
        <v>409</v>
      </c>
      <c r="H47" s="115">
        <v>8404.76</v>
      </c>
      <c r="I47" s="115">
        <v>0</v>
      </c>
      <c r="J47" s="115">
        <v>0</v>
      </c>
      <c r="K47" s="115">
        <v>384.96</v>
      </c>
      <c r="L47" s="115">
        <v>96.24</v>
      </c>
      <c r="M47" s="115">
        <v>24.06</v>
      </c>
      <c r="N47" s="115">
        <v>299</v>
      </c>
      <c r="O47" s="115">
        <v>0</v>
      </c>
      <c r="P47" s="115">
        <v>0</v>
      </c>
      <c r="Q47" s="115">
        <v>0</v>
      </c>
      <c r="R47" s="115">
        <v>0</v>
      </c>
      <c r="S47" s="115">
        <v>44799.84</v>
      </c>
      <c r="T47" s="115">
        <v>0</v>
      </c>
      <c r="U47" s="115">
        <v>35000</v>
      </c>
      <c r="V47" s="115">
        <v>1571.77</v>
      </c>
      <c r="W47" s="115">
        <v>0</v>
      </c>
      <c r="X47" s="115">
        <v>0</v>
      </c>
      <c r="Y47" s="115">
        <v>0</v>
      </c>
      <c r="Z47" s="115">
        <v>0</v>
      </c>
      <c r="AA47" s="115">
        <v>0</v>
      </c>
      <c r="AB47" s="115">
        <v>0</v>
      </c>
      <c r="AC47" s="115">
        <v>0</v>
      </c>
      <c r="AD47" s="115">
        <v>0</v>
      </c>
      <c r="AE47" s="115">
        <v>0</v>
      </c>
      <c r="AF47" s="115">
        <v>0</v>
      </c>
      <c r="AG47" s="115">
        <v>0</v>
      </c>
      <c r="AH47" s="115">
        <v>0</v>
      </c>
      <c r="AI47" s="115">
        <v>0</v>
      </c>
      <c r="AJ47" s="115">
        <v>8228.07</v>
      </c>
      <c r="AK47" s="116">
        <v>0.03</v>
      </c>
      <c r="AL47" s="115">
        <v>0</v>
      </c>
      <c r="AM47" s="115">
        <v>246.84</v>
      </c>
      <c r="AN47" s="115">
        <v>0</v>
      </c>
      <c r="AO47" s="115">
        <v>246.84</v>
      </c>
      <c r="AP47" s="115">
        <v>168.83</v>
      </c>
      <c r="AQ47" s="115">
        <v>78.01</v>
      </c>
      <c r="AR47" s="114" t="s">
        <v>89</v>
      </c>
    </row>
    <row r="48" s="113" customFormat="1" ht="13.5" spans="1:44">
      <c r="A48" s="114" t="s">
        <v>89</v>
      </c>
      <c r="B48" s="114" t="s">
        <v>166</v>
      </c>
      <c r="C48" s="114" t="s">
        <v>406</v>
      </c>
      <c r="D48" s="114" t="s">
        <v>167</v>
      </c>
      <c r="E48" s="114" t="s">
        <v>407</v>
      </c>
      <c r="F48" s="114" t="s">
        <v>408</v>
      </c>
      <c r="G48" s="114" t="s">
        <v>409</v>
      </c>
      <c r="H48" s="115">
        <v>5773.5</v>
      </c>
      <c r="I48" s="115">
        <v>0</v>
      </c>
      <c r="J48" s="115">
        <v>0</v>
      </c>
      <c r="K48" s="115">
        <v>384.96</v>
      </c>
      <c r="L48" s="115">
        <v>96.24</v>
      </c>
      <c r="M48" s="115">
        <v>24.06</v>
      </c>
      <c r="N48" s="115">
        <v>0</v>
      </c>
      <c r="O48" s="115">
        <v>0</v>
      </c>
      <c r="P48" s="115">
        <v>0</v>
      </c>
      <c r="Q48" s="115">
        <v>0</v>
      </c>
      <c r="R48" s="115">
        <v>0</v>
      </c>
      <c r="S48" s="115">
        <v>57880.49</v>
      </c>
      <c r="T48" s="115">
        <v>0</v>
      </c>
      <c r="U48" s="115">
        <v>55000</v>
      </c>
      <c r="V48" s="115">
        <v>3650.97</v>
      </c>
      <c r="W48" s="115">
        <v>0</v>
      </c>
      <c r="X48" s="115">
        <v>0</v>
      </c>
      <c r="Y48" s="115">
        <v>0</v>
      </c>
      <c r="Z48" s="115">
        <v>0</v>
      </c>
      <c r="AA48" s="115">
        <v>0</v>
      </c>
      <c r="AB48" s="115">
        <v>0</v>
      </c>
      <c r="AC48" s="115">
        <v>0</v>
      </c>
      <c r="AD48" s="115">
        <v>1500</v>
      </c>
      <c r="AE48" s="115">
        <v>0</v>
      </c>
      <c r="AF48" s="115">
        <v>0</v>
      </c>
      <c r="AG48" s="115">
        <v>0</v>
      </c>
      <c r="AH48" s="115">
        <v>0</v>
      </c>
      <c r="AI48" s="115">
        <v>0</v>
      </c>
      <c r="AJ48" s="115">
        <v>0</v>
      </c>
      <c r="AK48" s="116">
        <v>0.03</v>
      </c>
      <c r="AL48" s="115">
        <v>0</v>
      </c>
      <c r="AM48" s="115">
        <v>0</v>
      </c>
      <c r="AN48" s="115">
        <v>0</v>
      </c>
      <c r="AO48" s="115">
        <v>0</v>
      </c>
      <c r="AP48" s="115">
        <v>0</v>
      </c>
      <c r="AQ48" s="115">
        <v>0</v>
      </c>
      <c r="AR48" s="114" t="s">
        <v>89</v>
      </c>
    </row>
    <row r="49" s="113" customFormat="1" ht="13.5" spans="1:44">
      <c r="A49" s="114" t="s">
        <v>89</v>
      </c>
      <c r="B49" s="114" t="s">
        <v>64</v>
      </c>
      <c r="C49" s="114" t="s">
        <v>406</v>
      </c>
      <c r="D49" s="114" t="s">
        <v>65</v>
      </c>
      <c r="E49" s="114" t="s">
        <v>407</v>
      </c>
      <c r="F49" s="114" t="s">
        <v>408</v>
      </c>
      <c r="G49" s="114" t="s">
        <v>409</v>
      </c>
      <c r="H49" s="115">
        <v>7500</v>
      </c>
      <c r="I49" s="115">
        <v>0</v>
      </c>
      <c r="J49" s="115">
        <v>0</v>
      </c>
      <c r="K49" s="115">
        <v>384.96</v>
      </c>
      <c r="L49" s="115">
        <v>96.24</v>
      </c>
      <c r="M49" s="115">
        <v>24.06</v>
      </c>
      <c r="N49" s="115">
        <v>480</v>
      </c>
      <c r="O49" s="115">
        <v>0</v>
      </c>
      <c r="P49" s="115">
        <v>0</v>
      </c>
      <c r="Q49" s="115">
        <v>0</v>
      </c>
      <c r="R49" s="115">
        <v>0</v>
      </c>
      <c r="S49" s="115">
        <v>76495.21</v>
      </c>
      <c r="T49" s="115">
        <v>0</v>
      </c>
      <c r="U49" s="115">
        <v>55000</v>
      </c>
      <c r="V49" s="115">
        <v>6530.97</v>
      </c>
      <c r="W49" s="115">
        <v>0</v>
      </c>
      <c r="X49" s="115">
        <v>0</v>
      </c>
      <c r="Y49" s="115">
        <v>0</v>
      </c>
      <c r="Z49" s="115">
        <v>0</v>
      </c>
      <c r="AA49" s="115">
        <v>12000</v>
      </c>
      <c r="AB49" s="115">
        <v>0</v>
      </c>
      <c r="AC49" s="115">
        <v>0</v>
      </c>
      <c r="AD49" s="115">
        <v>1500</v>
      </c>
      <c r="AE49" s="115">
        <v>0</v>
      </c>
      <c r="AF49" s="115">
        <v>0</v>
      </c>
      <c r="AG49" s="115">
        <v>0</v>
      </c>
      <c r="AH49" s="115">
        <v>0</v>
      </c>
      <c r="AI49" s="115">
        <v>0</v>
      </c>
      <c r="AJ49" s="115">
        <v>1464.24</v>
      </c>
      <c r="AK49" s="116">
        <v>0.03</v>
      </c>
      <c r="AL49" s="115">
        <v>0</v>
      </c>
      <c r="AM49" s="115">
        <v>43.93</v>
      </c>
      <c r="AN49" s="115">
        <v>0</v>
      </c>
      <c r="AO49" s="115">
        <v>43.93</v>
      </c>
      <c r="AP49" s="115">
        <v>184.58</v>
      </c>
      <c r="AQ49" s="115">
        <v>0</v>
      </c>
      <c r="AR49" s="114" t="s">
        <v>89</v>
      </c>
    </row>
    <row r="50" s="113" customFormat="1" ht="13.5" spans="1:44">
      <c r="A50" s="114" t="s">
        <v>89</v>
      </c>
      <c r="B50" s="114" t="s">
        <v>180</v>
      </c>
      <c r="C50" s="114" t="s">
        <v>406</v>
      </c>
      <c r="D50" s="114" t="s">
        <v>181</v>
      </c>
      <c r="E50" s="114" t="s">
        <v>407</v>
      </c>
      <c r="F50" s="114" t="s">
        <v>408</v>
      </c>
      <c r="G50" s="114" t="s">
        <v>409</v>
      </c>
      <c r="H50" s="115">
        <v>6310.67</v>
      </c>
      <c r="I50" s="115">
        <v>0</v>
      </c>
      <c r="J50" s="115">
        <v>0</v>
      </c>
      <c r="K50" s="115">
        <v>384.96</v>
      </c>
      <c r="L50" s="115">
        <v>96.24</v>
      </c>
      <c r="M50" s="115">
        <v>24.06</v>
      </c>
      <c r="N50" s="115">
        <v>0</v>
      </c>
      <c r="O50" s="115">
        <v>0</v>
      </c>
      <c r="P50" s="115">
        <v>0</v>
      </c>
      <c r="Q50" s="115">
        <v>0</v>
      </c>
      <c r="R50" s="115">
        <v>0</v>
      </c>
      <c r="S50" s="115">
        <v>33323.94</v>
      </c>
      <c r="T50" s="115">
        <v>0</v>
      </c>
      <c r="U50" s="115">
        <v>35000</v>
      </c>
      <c r="V50" s="115">
        <v>973.77</v>
      </c>
      <c r="W50" s="115">
        <v>0</v>
      </c>
      <c r="X50" s="115">
        <v>0</v>
      </c>
      <c r="Y50" s="115">
        <v>0</v>
      </c>
      <c r="Z50" s="115">
        <v>0</v>
      </c>
      <c r="AA50" s="115">
        <v>0</v>
      </c>
      <c r="AB50" s="115">
        <v>0</v>
      </c>
      <c r="AC50" s="115">
        <v>0</v>
      </c>
      <c r="AD50" s="115">
        <v>0</v>
      </c>
      <c r="AE50" s="115">
        <v>0</v>
      </c>
      <c r="AF50" s="115">
        <v>0</v>
      </c>
      <c r="AG50" s="115">
        <v>0</v>
      </c>
      <c r="AH50" s="115">
        <v>0</v>
      </c>
      <c r="AI50" s="115">
        <v>0</v>
      </c>
      <c r="AJ50" s="115">
        <v>0</v>
      </c>
      <c r="AK50" s="116">
        <v>0.03</v>
      </c>
      <c r="AL50" s="115">
        <v>0</v>
      </c>
      <c r="AM50" s="115">
        <v>0</v>
      </c>
      <c r="AN50" s="115">
        <v>0</v>
      </c>
      <c r="AO50" s="115">
        <v>0</v>
      </c>
      <c r="AP50" s="115">
        <v>0</v>
      </c>
      <c r="AQ50" s="115">
        <v>0</v>
      </c>
      <c r="AR50" s="114" t="s">
        <v>89</v>
      </c>
    </row>
    <row r="51" s="113" customFormat="1" ht="13.5" spans="1:44">
      <c r="A51" s="114" t="s">
        <v>89</v>
      </c>
      <c r="B51" s="114" t="s">
        <v>158</v>
      </c>
      <c r="C51" s="114" t="s">
        <v>406</v>
      </c>
      <c r="D51" s="114" t="s">
        <v>159</v>
      </c>
      <c r="E51" s="114" t="s">
        <v>407</v>
      </c>
      <c r="F51" s="114" t="s">
        <v>408</v>
      </c>
      <c r="G51" s="114" t="s">
        <v>409</v>
      </c>
      <c r="H51" s="115">
        <v>10144.16</v>
      </c>
      <c r="I51" s="115">
        <v>0</v>
      </c>
      <c r="J51" s="115">
        <v>0</v>
      </c>
      <c r="K51" s="115">
        <v>384.96</v>
      </c>
      <c r="L51" s="115">
        <v>96.24</v>
      </c>
      <c r="M51" s="115">
        <v>24.06</v>
      </c>
      <c r="N51" s="115">
        <v>0</v>
      </c>
      <c r="O51" s="115">
        <v>0</v>
      </c>
      <c r="P51" s="115">
        <v>0</v>
      </c>
      <c r="Q51" s="115">
        <v>0</v>
      </c>
      <c r="R51" s="115">
        <v>0</v>
      </c>
      <c r="S51" s="115">
        <v>66029.57</v>
      </c>
      <c r="T51" s="115">
        <v>0</v>
      </c>
      <c r="U51" s="115">
        <v>45000</v>
      </c>
      <c r="V51" s="115">
        <v>1910.79</v>
      </c>
      <c r="W51" s="115">
        <v>0</v>
      </c>
      <c r="X51" s="115">
        <v>0</v>
      </c>
      <c r="Y51" s="115">
        <v>0</v>
      </c>
      <c r="Z51" s="115">
        <v>0</v>
      </c>
      <c r="AA51" s="115">
        <v>0</v>
      </c>
      <c r="AB51" s="115">
        <v>0</v>
      </c>
      <c r="AC51" s="115">
        <v>0</v>
      </c>
      <c r="AD51" s="115">
        <v>600</v>
      </c>
      <c r="AE51" s="115">
        <v>0</v>
      </c>
      <c r="AF51" s="115">
        <v>0</v>
      </c>
      <c r="AG51" s="115">
        <v>0</v>
      </c>
      <c r="AH51" s="115">
        <v>0</v>
      </c>
      <c r="AI51" s="115">
        <v>0</v>
      </c>
      <c r="AJ51" s="115">
        <v>18518.78</v>
      </c>
      <c r="AK51" s="116">
        <v>0.03</v>
      </c>
      <c r="AL51" s="115">
        <v>0</v>
      </c>
      <c r="AM51" s="115">
        <v>555.56</v>
      </c>
      <c r="AN51" s="115">
        <v>0</v>
      </c>
      <c r="AO51" s="115">
        <v>555.56</v>
      </c>
      <c r="AP51" s="115">
        <v>416.4</v>
      </c>
      <c r="AQ51" s="115">
        <v>139.16</v>
      </c>
      <c r="AR51" s="114" t="s">
        <v>89</v>
      </c>
    </row>
    <row r="52" s="113" customFormat="1" ht="13.5" spans="1:44">
      <c r="A52" s="114" t="s">
        <v>89</v>
      </c>
      <c r="B52" s="114" t="s">
        <v>48</v>
      </c>
      <c r="C52" s="114" t="s">
        <v>406</v>
      </c>
      <c r="D52" s="114" t="s">
        <v>49</v>
      </c>
      <c r="E52" s="114" t="s">
        <v>407</v>
      </c>
      <c r="F52" s="114" t="s">
        <v>408</v>
      </c>
      <c r="G52" s="114" t="s">
        <v>409</v>
      </c>
      <c r="H52" s="115">
        <v>18950</v>
      </c>
      <c r="I52" s="115">
        <v>0</v>
      </c>
      <c r="J52" s="115">
        <v>0</v>
      </c>
      <c r="K52" s="115">
        <v>384.96</v>
      </c>
      <c r="L52" s="115">
        <v>96.24</v>
      </c>
      <c r="M52" s="115">
        <v>24.06</v>
      </c>
      <c r="N52" s="115">
        <v>1800</v>
      </c>
      <c r="O52" s="115">
        <v>0</v>
      </c>
      <c r="P52" s="115">
        <v>0</v>
      </c>
      <c r="Q52" s="115">
        <v>0</v>
      </c>
      <c r="R52" s="115">
        <v>0</v>
      </c>
      <c r="S52" s="115">
        <v>199682.12</v>
      </c>
      <c r="T52" s="115">
        <v>0</v>
      </c>
      <c r="U52" s="115">
        <v>55000</v>
      </c>
      <c r="V52" s="115">
        <v>16250.97</v>
      </c>
      <c r="W52" s="115">
        <v>44000</v>
      </c>
      <c r="X52" s="115">
        <v>0</v>
      </c>
      <c r="Y52" s="115">
        <v>11000</v>
      </c>
      <c r="Z52" s="115">
        <v>0</v>
      </c>
      <c r="AA52" s="115">
        <v>16500</v>
      </c>
      <c r="AB52" s="115">
        <v>0</v>
      </c>
      <c r="AC52" s="115">
        <v>0</v>
      </c>
      <c r="AD52" s="115">
        <v>1500</v>
      </c>
      <c r="AE52" s="115">
        <v>0</v>
      </c>
      <c r="AF52" s="115">
        <v>0</v>
      </c>
      <c r="AG52" s="115">
        <v>0</v>
      </c>
      <c r="AH52" s="115">
        <v>0</v>
      </c>
      <c r="AI52" s="115">
        <v>0</v>
      </c>
      <c r="AJ52" s="115">
        <v>55431.15</v>
      </c>
      <c r="AK52" s="116">
        <v>0.1</v>
      </c>
      <c r="AL52" s="115">
        <v>2520</v>
      </c>
      <c r="AM52" s="115">
        <v>3023.12</v>
      </c>
      <c r="AN52" s="115">
        <v>0</v>
      </c>
      <c r="AO52" s="115">
        <v>3023.12</v>
      </c>
      <c r="AP52" s="115">
        <v>2508.64</v>
      </c>
      <c r="AQ52" s="115">
        <v>514.48</v>
      </c>
      <c r="AR52" s="114" t="s">
        <v>89</v>
      </c>
    </row>
    <row r="53" s="113" customFormat="1" ht="13.5" spans="1:44">
      <c r="A53" s="114" t="s">
        <v>89</v>
      </c>
      <c r="B53" s="114" t="s">
        <v>53</v>
      </c>
      <c r="C53" s="114" t="s">
        <v>406</v>
      </c>
      <c r="D53" s="114" t="s">
        <v>54</v>
      </c>
      <c r="E53" s="114" t="s">
        <v>407</v>
      </c>
      <c r="F53" s="114" t="s">
        <v>408</v>
      </c>
      <c r="G53" s="114" t="s">
        <v>409</v>
      </c>
      <c r="H53" s="115">
        <v>8700</v>
      </c>
      <c r="I53" s="115">
        <v>0</v>
      </c>
      <c r="J53" s="115">
        <v>0</v>
      </c>
      <c r="K53" s="115">
        <v>384.96</v>
      </c>
      <c r="L53" s="115">
        <v>96.24</v>
      </c>
      <c r="M53" s="115">
        <v>24.06</v>
      </c>
      <c r="N53" s="115">
        <v>480</v>
      </c>
      <c r="O53" s="115">
        <v>0</v>
      </c>
      <c r="P53" s="115">
        <v>0</v>
      </c>
      <c r="Q53" s="115">
        <v>0</v>
      </c>
      <c r="R53" s="115">
        <v>0</v>
      </c>
      <c r="S53" s="115">
        <v>89033.73</v>
      </c>
      <c r="T53" s="115">
        <v>0</v>
      </c>
      <c r="U53" s="115">
        <v>55000</v>
      </c>
      <c r="V53" s="115">
        <v>6530.97</v>
      </c>
      <c r="W53" s="115">
        <v>22000</v>
      </c>
      <c r="X53" s="115">
        <v>0</v>
      </c>
      <c r="Y53" s="115">
        <v>11000</v>
      </c>
      <c r="Z53" s="115">
        <v>0</v>
      </c>
      <c r="AA53" s="115">
        <v>16500</v>
      </c>
      <c r="AB53" s="115">
        <v>0</v>
      </c>
      <c r="AC53" s="115">
        <v>0</v>
      </c>
      <c r="AD53" s="115">
        <v>1500</v>
      </c>
      <c r="AE53" s="115">
        <v>0</v>
      </c>
      <c r="AF53" s="115">
        <v>0</v>
      </c>
      <c r="AG53" s="115">
        <v>0</v>
      </c>
      <c r="AH53" s="115">
        <v>0</v>
      </c>
      <c r="AI53" s="115">
        <v>0</v>
      </c>
      <c r="AJ53" s="115">
        <v>0</v>
      </c>
      <c r="AK53" s="116">
        <v>0.03</v>
      </c>
      <c r="AL53" s="115">
        <v>0</v>
      </c>
      <c r="AM53" s="115">
        <v>0</v>
      </c>
      <c r="AN53" s="115">
        <v>0</v>
      </c>
      <c r="AO53" s="115">
        <v>0</v>
      </c>
      <c r="AP53" s="115">
        <v>0</v>
      </c>
      <c r="AQ53" s="115">
        <v>0</v>
      </c>
      <c r="AR53" s="114" t="s">
        <v>89</v>
      </c>
    </row>
    <row r="54" s="113" customFormat="1" ht="13.5" spans="1:44">
      <c r="A54" s="114" t="s">
        <v>89</v>
      </c>
      <c r="B54" s="114" t="s">
        <v>71</v>
      </c>
      <c r="C54" s="114" t="s">
        <v>406</v>
      </c>
      <c r="D54" s="114" t="s">
        <v>72</v>
      </c>
      <c r="E54" s="114" t="s">
        <v>407</v>
      </c>
      <c r="F54" s="114" t="s">
        <v>408</v>
      </c>
      <c r="G54" s="114" t="s">
        <v>409</v>
      </c>
      <c r="H54" s="115">
        <v>8010.62</v>
      </c>
      <c r="I54" s="115">
        <v>0</v>
      </c>
      <c r="J54" s="115">
        <v>0</v>
      </c>
      <c r="K54" s="115">
        <v>384.96</v>
      </c>
      <c r="L54" s="115">
        <v>96.24</v>
      </c>
      <c r="M54" s="115">
        <v>24.06</v>
      </c>
      <c r="N54" s="115">
        <v>0</v>
      </c>
      <c r="O54" s="115">
        <v>0</v>
      </c>
      <c r="P54" s="115">
        <v>0</v>
      </c>
      <c r="Q54" s="115">
        <v>0</v>
      </c>
      <c r="R54" s="115">
        <v>0</v>
      </c>
      <c r="S54" s="115">
        <v>85672.79</v>
      </c>
      <c r="T54" s="115">
        <v>0</v>
      </c>
      <c r="U54" s="115">
        <v>55000</v>
      </c>
      <c r="V54" s="115">
        <v>3650.97</v>
      </c>
      <c r="W54" s="115">
        <v>0</v>
      </c>
      <c r="X54" s="115">
        <v>0</v>
      </c>
      <c r="Y54" s="115">
        <v>0</v>
      </c>
      <c r="Z54" s="115">
        <v>0</v>
      </c>
      <c r="AA54" s="115">
        <v>0</v>
      </c>
      <c r="AB54" s="115">
        <v>0</v>
      </c>
      <c r="AC54" s="115">
        <v>0</v>
      </c>
      <c r="AD54" s="115">
        <v>1500</v>
      </c>
      <c r="AE54" s="115">
        <v>0</v>
      </c>
      <c r="AF54" s="115">
        <v>0</v>
      </c>
      <c r="AG54" s="115">
        <v>0</v>
      </c>
      <c r="AH54" s="115">
        <v>0</v>
      </c>
      <c r="AI54" s="115">
        <v>0</v>
      </c>
      <c r="AJ54" s="115">
        <v>25521.82</v>
      </c>
      <c r="AK54" s="116">
        <v>0.03</v>
      </c>
      <c r="AL54" s="115">
        <v>0</v>
      </c>
      <c r="AM54" s="115">
        <v>765.65</v>
      </c>
      <c r="AN54" s="115">
        <v>0</v>
      </c>
      <c r="AO54" s="115">
        <v>765.65</v>
      </c>
      <c r="AP54" s="115">
        <v>690.49</v>
      </c>
      <c r="AQ54" s="115">
        <v>75.16</v>
      </c>
      <c r="AR54" s="114" t="s">
        <v>89</v>
      </c>
    </row>
    <row r="55" s="113" customFormat="1" ht="13.5" spans="1:44">
      <c r="A55" s="114" t="s">
        <v>89</v>
      </c>
      <c r="B55" s="114" t="s">
        <v>93</v>
      </c>
      <c r="C55" s="114" t="s">
        <v>406</v>
      </c>
      <c r="D55" s="114" t="s">
        <v>94</v>
      </c>
      <c r="E55" s="114" t="s">
        <v>407</v>
      </c>
      <c r="F55" s="114" t="s">
        <v>408</v>
      </c>
      <c r="G55" s="114" t="s">
        <v>409</v>
      </c>
      <c r="H55" s="115">
        <v>5985</v>
      </c>
      <c r="I55" s="115">
        <v>0</v>
      </c>
      <c r="J55" s="115">
        <v>0</v>
      </c>
      <c r="K55" s="115">
        <v>384.96</v>
      </c>
      <c r="L55" s="115">
        <v>96.24</v>
      </c>
      <c r="M55" s="115">
        <v>24.06</v>
      </c>
      <c r="N55" s="115">
        <v>0</v>
      </c>
      <c r="O55" s="115">
        <v>0</v>
      </c>
      <c r="P55" s="115">
        <v>0</v>
      </c>
      <c r="Q55" s="115">
        <v>0</v>
      </c>
      <c r="R55" s="115">
        <v>0</v>
      </c>
      <c r="S55" s="115">
        <v>58131.24</v>
      </c>
      <c r="T55" s="115">
        <v>0</v>
      </c>
      <c r="U55" s="115">
        <v>55000</v>
      </c>
      <c r="V55" s="115">
        <v>3650.97</v>
      </c>
      <c r="W55" s="115">
        <v>0</v>
      </c>
      <c r="X55" s="115">
        <v>0</v>
      </c>
      <c r="Y55" s="115">
        <v>0</v>
      </c>
      <c r="Z55" s="115">
        <v>0</v>
      </c>
      <c r="AA55" s="115">
        <v>0</v>
      </c>
      <c r="AB55" s="115">
        <v>0</v>
      </c>
      <c r="AC55" s="115">
        <v>0</v>
      </c>
      <c r="AD55" s="115">
        <v>1500</v>
      </c>
      <c r="AE55" s="115">
        <v>0</v>
      </c>
      <c r="AF55" s="115">
        <v>0</v>
      </c>
      <c r="AG55" s="115">
        <v>0</v>
      </c>
      <c r="AH55" s="115">
        <v>0</v>
      </c>
      <c r="AI55" s="115">
        <v>0</v>
      </c>
      <c r="AJ55" s="115">
        <v>0</v>
      </c>
      <c r="AK55" s="116">
        <v>0.03</v>
      </c>
      <c r="AL55" s="115">
        <v>0</v>
      </c>
      <c r="AM55" s="115">
        <v>0</v>
      </c>
      <c r="AN55" s="115">
        <v>0</v>
      </c>
      <c r="AO55" s="115">
        <v>0</v>
      </c>
      <c r="AP55" s="115">
        <v>0</v>
      </c>
      <c r="AQ55" s="115">
        <v>0</v>
      </c>
      <c r="AR55" s="114" t="s">
        <v>89</v>
      </c>
    </row>
    <row r="56" s="113" customFormat="1" customHeight="1" spans="1:44">
      <c r="A56" s="114"/>
      <c r="B56" s="114"/>
      <c r="C56" s="114"/>
      <c r="D56" s="114"/>
      <c r="E56" s="113"/>
      <c r="F56" s="113"/>
      <c r="G56" s="113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6"/>
      <c r="AL56" s="115"/>
      <c r="AM56" s="115"/>
      <c r="AN56" s="115"/>
      <c r="AO56" s="115"/>
      <c r="AP56" s="115"/>
      <c r="AQ56" s="115"/>
      <c r="AR56" s="114"/>
    </row>
    <row r="57" s="113" customFormat="1" customHeight="1" spans="1:44">
      <c r="A57" s="114"/>
      <c r="B57" s="114"/>
      <c r="C57" s="114"/>
      <c r="D57" s="114"/>
      <c r="E57" s="113"/>
      <c r="F57" s="113"/>
      <c r="G57" s="113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6"/>
      <c r="AL57" s="115"/>
      <c r="AM57" s="115"/>
      <c r="AN57" s="115"/>
      <c r="AO57" s="115"/>
      <c r="AP57" s="115"/>
      <c r="AQ57" s="115"/>
      <c r="AR57" s="114"/>
    </row>
    <row r="58" s="113" customFormat="1" customHeight="1" spans="1:44">
      <c r="A58" s="114"/>
      <c r="B58" s="114"/>
      <c r="C58" s="114"/>
      <c r="D58" s="114"/>
      <c r="E58" s="113"/>
      <c r="F58" s="113"/>
      <c r="G58" s="113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6"/>
      <c r="AL58" s="115"/>
      <c r="AM58" s="115"/>
      <c r="AN58" s="115"/>
      <c r="AO58" s="115"/>
      <c r="AP58" s="115"/>
      <c r="AQ58" s="115"/>
      <c r="AR58" s="114"/>
    </row>
    <row r="59" s="113" customFormat="1" customHeight="1" spans="1:44">
      <c r="A59" s="114"/>
      <c r="B59" s="114"/>
      <c r="C59" s="114"/>
      <c r="D59" s="114"/>
      <c r="E59" s="113"/>
      <c r="F59" s="113"/>
      <c r="G59" s="113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6"/>
      <c r="AL59" s="115"/>
      <c r="AM59" s="115"/>
      <c r="AN59" s="115"/>
      <c r="AO59" s="115"/>
      <c r="AP59" s="115"/>
      <c r="AQ59" s="115"/>
      <c r="AR59" s="114"/>
    </row>
    <row r="60" s="113" customFormat="1" customHeight="1" spans="1:44">
      <c r="A60" s="114"/>
      <c r="B60" s="114"/>
      <c r="C60" s="114"/>
      <c r="D60" s="114"/>
      <c r="E60" s="113"/>
      <c r="F60" s="113"/>
      <c r="G60" s="113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6"/>
      <c r="AL60" s="115"/>
      <c r="AM60" s="115"/>
      <c r="AN60" s="115"/>
      <c r="AO60" s="115"/>
      <c r="AP60" s="115"/>
      <c r="AQ60" s="115"/>
      <c r="AR60" s="114"/>
    </row>
    <row r="61" s="113" customFormat="1" customHeight="1" spans="1:44">
      <c r="A61" s="114"/>
      <c r="B61" s="114"/>
      <c r="C61" s="114"/>
      <c r="D61" s="114"/>
      <c r="E61" s="113"/>
      <c r="F61" s="113"/>
      <c r="G61" s="113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6"/>
      <c r="AL61" s="115"/>
      <c r="AM61" s="115"/>
      <c r="AN61" s="115"/>
      <c r="AO61" s="115"/>
      <c r="AP61" s="115"/>
      <c r="AQ61" s="115"/>
      <c r="AR61" s="114"/>
    </row>
    <row r="62" s="113" customFormat="1" customHeight="1" spans="1:44">
      <c r="A62" s="114"/>
      <c r="B62" s="114"/>
      <c r="C62" s="114"/>
      <c r="D62" s="114"/>
      <c r="E62" s="113"/>
      <c r="F62" s="113"/>
      <c r="G62" s="113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L62" s="115"/>
      <c r="AM62" s="115"/>
      <c r="AN62" s="115"/>
      <c r="AO62" s="115"/>
      <c r="AP62" s="115"/>
      <c r="AQ62" s="115"/>
      <c r="AR62" s="114"/>
    </row>
    <row r="63" s="113" customFormat="1" customHeight="1" spans="1:44">
      <c r="A63" s="114"/>
      <c r="B63" s="114"/>
      <c r="C63" s="114"/>
      <c r="D63" s="114"/>
      <c r="E63" s="113"/>
      <c r="F63" s="113"/>
      <c r="G63" s="113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6"/>
      <c r="AL63" s="115"/>
      <c r="AM63" s="115"/>
      <c r="AN63" s="115"/>
      <c r="AO63" s="115"/>
      <c r="AP63" s="115"/>
      <c r="AQ63" s="115"/>
      <c r="AR63" s="114"/>
    </row>
    <row r="64" s="113" customFormat="1" customHeight="1" spans="1:44">
      <c r="A64" s="114"/>
      <c r="B64" s="114"/>
      <c r="C64" s="114"/>
      <c r="D64" s="114"/>
      <c r="E64" s="113"/>
      <c r="F64" s="113"/>
      <c r="G64" s="113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6"/>
      <c r="AL64" s="115"/>
      <c r="AM64" s="115"/>
      <c r="AN64" s="115"/>
      <c r="AO64" s="115"/>
      <c r="AP64" s="115"/>
      <c r="AQ64" s="115"/>
      <c r="AR64" s="114"/>
    </row>
    <row r="65" s="113" customFormat="1" customHeight="1" spans="1:44">
      <c r="A65" s="114"/>
      <c r="B65" s="114"/>
      <c r="C65" s="114"/>
      <c r="D65" s="114"/>
      <c r="E65" s="113"/>
      <c r="F65" s="113"/>
      <c r="G65" s="113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6"/>
      <c r="AL65" s="115"/>
      <c r="AM65" s="115"/>
      <c r="AN65" s="115"/>
      <c r="AO65" s="115"/>
      <c r="AP65" s="115"/>
      <c r="AQ65" s="115"/>
      <c r="AR65" s="114"/>
    </row>
    <row r="66" s="113" customFormat="1" customHeight="1" spans="1:44">
      <c r="A66" s="114"/>
      <c r="B66" s="114"/>
      <c r="C66" s="114"/>
      <c r="D66" s="114"/>
      <c r="E66" s="113"/>
      <c r="F66" s="113"/>
      <c r="G66" s="113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6"/>
      <c r="AL66" s="115"/>
      <c r="AM66" s="115"/>
      <c r="AN66" s="115"/>
      <c r="AO66" s="115"/>
      <c r="AP66" s="115"/>
      <c r="AQ66" s="115"/>
      <c r="AR66" s="114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 summaryRight="0"/>
  </sheetPr>
  <dimension ref="A1:Q27"/>
  <sheetViews>
    <sheetView workbookViewId="0">
      <selection activeCell="A1" sqref="A1:Q1"/>
    </sheetView>
  </sheetViews>
  <sheetFormatPr defaultColWidth="9" defaultRowHeight="13.5" customHeight="1"/>
  <cols>
    <col min="1" max="1" width="3.83333333333333" style="2" customWidth="1"/>
    <col min="2" max="2" width="17.3333333333333" style="2" customWidth="1"/>
    <col min="3" max="3" width="21.6666666666667" style="2" customWidth="1"/>
    <col min="5" max="5" width="14.6666666666667" style="2" customWidth="1"/>
    <col min="7" max="7" width="9.33333333333333" style="2"/>
    <col min="9" max="9" width="9.33333333333333" style="2"/>
    <col min="14" max="15" width="9.33333333333333" style="2"/>
  </cols>
  <sheetData>
    <row r="1" s="87" customFormat="1" ht="24" customHeight="1" spans="1:17">
      <c r="A1" s="89" t="s">
        <v>412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="88" customFormat="1" ht="24" customHeight="1" spans="1:17">
      <c r="A2" s="90" t="s">
        <v>2</v>
      </c>
      <c r="B2" s="90" t="s">
        <v>4</v>
      </c>
      <c r="C2" s="90" t="s">
        <v>413</v>
      </c>
      <c r="D2" s="90" t="s">
        <v>414</v>
      </c>
      <c r="E2" s="90" t="s">
        <v>415</v>
      </c>
      <c r="F2" s="90" t="s">
        <v>416</v>
      </c>
      <c r="G2" s="91" t="s">
        <v>417</v>
      </c>
      <c r="H2" s="91"/>
      <c r="I2" s="91"/>
      <c r="J2" s="91"/>
      <c r="K2" s="91"/>
      <c r="L2" s="91"/>
      <c r="M2" s="91"/>
      <c r="N2" s="103" t="s">
        <v>418</v>
      </c>
      <c r="O2" s="103" t="s">
        <v>419</v>
      </c>
      <c r="P2" s="104" t="s">
        <v>420</v>
      </c>
      <c r="Q2" s="111"/>
    </row>
    <row r="3" s="88" customFormat="1" ht="24" customHeight="1" spans="1:17">
      <c r="A3" s="92"/>
      <c r="B3" s="92"/>
      <c r="C3" s="92"/>
      <c r="D3" s="92"/>
      <c r="E3" s="92"/>
      <c r="F3" s="92"/>
      <c r="G3" s="92" t="s">
        <v>421</v>
      </c>
      <c r="H3" s="92"/>
      <c r="I3" s="93" t="s">
        <v>422</v>
      </c>
      <c r="J3" s="93"/>
      <c r="K3" s="93" t="s">
        <v>423</v>
      </c>
      <c r="L3" s="93"/>
      <c r="M3" s="93" t="s">
        <v>424</v>
      </c>
      <c r="N3" s="93"/>
      <c r="O3" s="93"/>
      <c r="P3" s="105"/>
      <c r="Q3" s="112"/>
    </row>
    <row r="4" s="88" customFormat="1" ht="24" customHeight="1" spans="1:17">
      <c r="A4" s="92"/>
      <c r="B4" s="92"/>
      <c r="C4" s="92"/>
      <c r="D4" s="92"/>
      <c r="E4" s="92"/>
      <c r="F4" s="92"/>
      <c r="G4" s="92" t="s">
        <v>425</v>
      </c>
      <c r="H4" s="93" t="s">
        <v>426</v>
      </c>
      <c r="I4" s="93" t="s">
        <v>427</v>
      </c>
      <c r="J4" s="93" t="s">
        <v>428</v>
      </c>
      <c r="K4" s="93" t="s">
        <v>429</v>
      </c>
      <c r="L4" s="93" t="s">
        <v>430</v>
      </c>
      <c r="M4" s="93"/>
      <c r="N4" s="93"/>
      <c r="O4" s="93"/>
      <c r="P4" s="106" t="s">
        <v>431</v>
      </c>
      <c r="Q4" s="106" t="s">
        <v>432</v>
      </c>
    </row>
    <row r="5" s="13" customFormat="1" ht="24" customHeight="1" spans="1:17">
      <c r="A5" s="94">
        <v>1</v>
      </c>
      <c r="B5" s="95" t="s">
        <v>35</v>
      </c>
      <c r="C5" s="277" t="s">
        <v>36</v>
      </c>
      <c r="D5" s="97">
        <v>201703</v>
      </c>
      <c r="E5" s="98" t="s">
        <v>433</v>
      </c>
      <c r="F5" s="96" t="s">
        <v>434</v>
      </c>
      <c r="G5" s="99">
        <f t="shared" ref="G5:G21" si="0">E5*0.14</f>
        <v>553.98</v>
      </c>
      <c r="H5" s="99">
        <f t="shared" ref="H5:H21" si="1">+ROUND(E5*8%,2)</f>
        <v>316.56</v>
      </c>
      <c r="I5" s="99">
        <f t="shared" ref="I5:I21" si="2">E5*0.099</f>
        <v>391.743</v>
      </c>
      <c r="J5" s="99">
        <v>66.43</v>
      </c>
      <c r="K5" s="99">
        <v>16.61</v>
      </c>
      <c r="L5" s="99">
        <f t="shared" ref="L5:L21" si="3">+ROUND(E5*0.5%,2)</f>
        <v>19.79</v>
      </c>
      <c r="M5" s="99">
        <v>6.64</v>
      </c>
      <c r="N5" s="107">
        <f t="shared" ref="N5:N21" si="4">+ROUND((G5+I5+K5+M5),2)</f>
        <v>968.97</v>
      </c>
      <c r="O5" s="108">
        <f t="shared" ref="O5:O21" si="5">+ROUND((H5+J5+L5),2)</f>
        <v>402.78</v>
      </c>
      <c r="P5" s="109">
        <v>1399</v>
      </c>
      <c r="Q5" s="109">
        <v>1399</v>
      </c>
    </row>
    <row r="6" s="13" customFormat="1" ht="24" customHeight="1" spans="1:17">
      <c r="A6" s="94">
        <v>2</v>
      </c>
      <c r="B6" s="95" t="s">
        <v>31</v>
      </c>
      <c r="C6" s="277" t="s">
        <v>32</v>
      </c>
      <c r="D6" s="97" t="s">
        <v>435</v>
      </c>
      <c r="E6" s="98" t="s">
        <v>433</v>
      </c>
      <c r="F6" s="96" t="s">
        <v>434</v>
      </c>
      <c r="G6" s="99">
        <f t="shared" si="0"/>
        <v>553.98</v>
      </c>
      <c r="H6" s="99">
        <f t="shared" si="1"/>
        <v>316.56</v>
      </c>
      <c r="I6" s="99">
        <f t="shared" si="2"/>
        <v>391.743</v>
      </c>
      <c r="J6" s="99">
        <v>66.43</v>
      </c>
      <c r="K6" s="99">
        <v>16.61</v>
      </c>
      <c r="L6" s="99">
        <f t="shared" si="3"/>
        <v>19.79</v>
      </c>
      <c r="M6" s="99">
        <v>6.64</v>
      </c>
      <c r="N6" s="107">
        <f t="shared" si="4"/>
        <v>968.97</v>
      </c>
      <c r="O6" s="108">
        <f t="shared" si="5"/>
        <v>402.78</v>
      </c>
      <c r="P6" s="109">
        <v>1351</v>
      </c>
      <c r="Q6" s="109">
        <v>1351</v>
      </c>
    </row>
    <row r="7" s="13" customFormat="1" ht="24" customHeight="1" spans="1:17">
      <c r="A7" s="94">
        <v>3</v>
      </c>
      <c r="B7" s="95" t="s">
        <v>48</v>
      </c>
      <c r="C7" s="277" t="s">
        <v>49</v>
      </c>
      <c r="D7" s="97" t="s">
        <v>436</v>
      </c>
      <c r="E7" s="98" t="s">
        <v>433</v>
      </c>
      <c r="F7" s="96" t="s">
        <v>434</v>
      </c>
      <c r="G7" s="99">
        <f t="shared" si="0"/>
        <v>553.98</v>
      </c>
      <c r="H7" s="99">
        <f t="shared" si="1"/>
        <v>316.56</v>
      </c>
      <c r="I7" s="99">
        <f t="shared" si="2"/>
        <v>391.743</v>
      </c>
      <c r="J7" s="99">
        <v>66.43</v>
      </c>
      <c r="K7" s="99">
        <v>16.61</v>
      </c>
      <c r="L7" s="99">
        <f t="shared" si="3"/>
        <v>19.79</v>
      </c>
      <c r="M7" s="99">
        <v>6.64</v>
      </c>
      <c r="N7" s="107">
        <f t="shared" si="4"/>
        <v>968.97</v>
      </c>
      <c r="O7" s="108">
        <f t="shared" si="5"/>
        <v>402.78</v>
      </c>
      <c r="P7" s="109">
        <v>1111</v>
      </c>
      <c r="Q7" s="109">
        <v>1111</v>
      </c>
    </row>
    <row r="8" s="13" customFormat="1" ht="24" customHeight="1" spans="1:17">
      <c r="A8" s="94">
        <v>4</v>
      </c>
      <c r="B8" s="95" t="s">
        <v>437</v>
      </c>
      <c r="C8" s="277" t="s">
        <v>438</v>
      </c>
      <c r="D8" s="97">
        <v>202007</v>
      </c>
      <c r="E8" s="98" t="s">
        <v>433</v>
      </c>
      <c r="F8" s="96" t="s">
        <v>439</v>
      </c>
      <c r="G8" s="99">
        <f t="shared" si="0"/>
        <v>553.98</v>
      </c>
      <c r="H8" s="99">
        <f t="shared" si="1"/>
        <v>316.56</v>
      </c>
      <c r="I8" s="99">
        <f t="shared" si="2"/>
        <v>391.743</v>
      </c>
      <c r="J8" s="99">
        <v>66.43</v>
      </c>
      <c r="K8" s="99">
        <v>16.61</v>
      </c>
      <c r="L8" s="99">
        <f t="shared" si="3"/>
        <v>19.79</v>
      </c>
      <c r="M8" s="99">
        <v>6.64</v>
      </c>
      <c r="N8" s="107">
        <f t="shared" si="4"/>
        <v>968.97</v>
      </c>
      <c r="O8" s="108">
        <f t="shared" si="5"/>
        <v>402.78</v>
      </c>
      <c r="P8" s="109">
        <v>600</v>
      </c>
      <c r="Q8" s="109">
        <v>600</v>
      </c>
    </row>
    <row r="9" s="13" customFormat="1" ht="24" customHeight="1" spans="1:17">
      <c r="A9" s="94">
        <v>5</v>
      </c>
      <c r="B9" s="96" t="s">
        <v>440</v>
      </c>
      <c r="C9" s="277" t="s">
        <v>441</v>
      </c>
      <c r="D9" s="97">
        <v>202007</v>
      </c>
      <c r="E9" s="98" t="s">
        <v>433</v>
      </c>
      <c r="F9" s="96" t="s">
        <v>439</v>
      </c>
      <c r="G9" s="99">
        <f t="shared" si="0"/>
        <v>553.98</v>
      </c>
      <c r="H9" s="99">
        <f t="shared" si="1"/>
        <v>316.56</v>
      </c>
      <c r="I9" s="99">
        <f t="shared" si="2"/>
        <v>391.743</v>
      </c>
      <c r="J9" s="99">
        <v>66.43</v>
      </c>
      <c r="K9" s="99">
        <v>16.61</v>
      </c>
      <c r="L9" s="99">
        <f t="shared" si="3"/>
        <v>19.79</v>
      </c>
      <c r="M9" s="99">
        <v>6.64</v>
      </c>
      <c r="N9" s="107">
        <f t="shared" si="4"/>
        <v>968.97</v>
      </c>
      <c r="O9" s="108">
        <f t="shared" si="5"/>
        <v>402.78</v>
      </c>
      <c r="P9" s="109"/>
      <c r="Q9" s="109"/>
    </row>
    <row r="10" s="13" customFormat="1" ht="24" customHeight="1" spans="1:17">
      <c r="A10" s="94">
        <v>6</v>
      </c>
      <c r="B10" s="96" t="s">
        <v>442</v>
      </c>
      <c r="C10" s="96" t="s">
        <v>443</v>
      </c>
      <c r="D10" s="97">
        <v>201910</v>
      </c>
      <c r="E10" s="98" t="s">
        <v>433</v>
      </c>
      <c r="F10" s="96" t="s">
        <v>439</v>
      </c>
      <c r="G10" s="99">
        <f t="shared" si="0"/>
        <v>553.98</v>
      </c>
      <c r="H10" s="99">
        <f t="shared" si="1"/>
        <v>316.56</v>
      </c>
      <c r="I10" s="99">
        <f t="shared" si="2"/>
        <v>391.743</v>
      </c>
      <c r="J10" s="99">
        <v>66.43</v>
      </c>
      <c r="K10" s="99">
        <v>16.61</v>
      </c>
      <c r="L10" s="99">
        <f t="shared" si="3"/>
        <v>19.79</v>
      </c>
      <c r="M10" s="99">
        <v>6.64</v>
      </c>
      <c r="N10" s="107">
        <f t="shared" si="4"/>
        <v>968.97</v>
      </c>
      <c r="O10" s="108">
        <f t="shared" si="5"/>
        <v>402.78</v>
      </c>
      <c r="P10" s="109"/>
      <c r="Q10" s="109"/>
    </row>
    <row r="11" s="13" customFormat="1" ht="24" customHeight="1" spans="1:17">
      <c r="A11" s="94">
        <v>7</v>
      </c>
      <c r="B11" s="96" t="s">
        <v>444</v>
      </c>
      <c r="C11" s="96" t="s">
        <v>445</v>
      </c>
      <c r="D11" s="97">
        <v>202108</v>
      </c>
      <c r="E11" s="98" t="s">
        <v>433</v>
      </c>
      <c r="F11" s="96" t="s">
        <v>434</v>
      </c>
      <c r="G11" s="99">
        <f t="shared" si="0"/>
        <v>553.98</v>
      </c>
      <c r="H11" s="99">
        <f t="shared" si="1"/>
        <v>316.56</v>
      </c>
      <c r="I11" s="99">
        <f t="shared" si="2"/>
        <v>391.743</v>
      </c>
      <c r="J11" s="99">
        <v>66.43</v>
      </c>
      <c r="K11" s="99">
        <v>16.61</v>
      </c>
      <c r="L11" s="99">
        <f t="shared" si="3"/>
        <v>19.79</v>
      </c>
      <c r="M11" s="99">
        <v>6.64</v>
      </c>
      <c r="N11" s="107">
        <f t="shared" si="4"/>
        <v>968.97</v>
      </c>
      <c r="O11" s="108">
        <f t="shared" si="5"/>
        <v>402.78</v>
      </c>
      <c r="P11" s="109"/>
      <c r="Q11" s="109"/>
    </row>
    <row r="12" s="13" customFormat="1" ht="24" customHeight="1" spans="1:17">
      <c r="A12" s="94">
        <v>8</v>
      </c>
      <c r="B12" s="95" t="s">
        <v>446</v>
      </c>
      <c r="C12" s="277" t="s">
        <v>447</v>
      </c>
      <c r="D12" s="97">
        <v>201811</v>
      </c>
      <c r="E12" s="98" t="s">
        <v>433</v>
      </c>
      <c r="F12" s="96" t="s">
        <v>448</v>
      </c>
      <c r="G12" s="99">
        <f t="shared" si="0"/>
        <v>553.98</v>
      </c>
      <c r="H12" s="99">
        <f t="shared" si="1"/>
        <v>316.56</v>
      </c>
      <c r="I12" s="99">
        <f t="shared" si="2"/>
        <v>391.743</v>
      </c>
      <c r="J12" s="99">
        <v>66.43</v>
      </c>
      <c r="K12" s="99">
        <v>16.61</v>
      </c>
      <c r="L12" s="99">
        <f t="shared" si="3"/>
        <v>19.79</v>
      </c>
      <c r="M12" s="99">
        <v>6.64</v>
      </c>
      <c r="N12" s="107">
        <f t="shared" si="4"/>
        <v>968.97</v>
      </c>
      <c r="O12" s="108">
        <f t="shared" si="5"/>
        <v>402.78</v>
      </c>
      <c r="P12" s="109">
        <v>600</v>
      </c>
      <c r="Q12" s="109">
        <v>600</v>
      </c>
    </row>
    <row r="13" s="13" customFormat="1" ht="24" customHeight="1" spans="1:17">
      <c r="A13" s="94">
        <v>9</v>
      </c>
      <c r="B13" s="95" t="s">
        <v>43</v>
      </c>
      <c r="C13" s="277" t="s">
        <v>44</v>
      </c>
      <c r="D13" s="97" t="s">
        <v>449</v>
      </c>
      <c r="E13" s="98" t="s">
        <v>433</v>
      </c>
      <c r="F13" s="96" t="s">
        <v>434</v>
      </c>
      <c r="G13" s="99">
        <f t="shared" si="0"/>
        <v>553.98</v>
      </c>
      <c r="H13" s="99">
        <f t="shared" si="1"/>
        <v>316.56</v>
      </c>
      <c r="I13" s="99">
        <f t="shared" si="2"/>
        <v>391.743</v>
      </c>
      <c r="J13" s="99">
        <v>66.43</v>
      </c>
      <c r="K13" s="99">
        <v>16.61</v>
      </c>
      <c r="L13" s="99">
        <f t="shared" si="3"/>
        <v>19.79</v>
      </c>
      <c r="M13" s="99">
        <v>6.64</v>
      </c>
      <c r="N13" s="107">
        <f t="shared" si="4"/>
        <v>968.97</v>
      </c>
      <c r="O13" s="108">
        <f t="shared" si="5"/>
        <v>402.78</v>
      </c>
      <c r="P13" s="109">
        <v>480</v>
      </c>
      <c r="Q13" s="109">
        <v>480</v>
      </c>
    </row>
    <row r="14" s="13" customFormat="1" ht="24" customHeight="1" spans="1:17">
      <c r="A14" s="94">
        <v>10</v>
      </c>
      <c r="B14" s="95" t="s">
        <v>450</v>
      </c>
      <c r="C14" s="277" t="s">
        <v>451</v>
      </c>
      <c r="D14" s="97">
        <v>201907</v>
      </c>
      <c r="E14" s="98" t="s">
        <v>433</v>
      </c>
      <c r="F14" s="96" t="s">
        <v>452</v>
      </c>
      <c r="G14" s="99">
        <f t="shared" si="0"/>
        <v>553.98</v>
      </c>
      <c r="H14" s="99">
        <f t="shared" si="1"/>
        <v>316.56</v>
      </c>
      <c r="I14" s="99">
        <f t="shared" si="2"/>
        <v>391.743</v>
      </c>
      <c r="J14" s="99">
        <v>66.43</v>
      </c>
      <c r="K14" s="99">
        <v>16.61</v>
      </c>
      <c r="L14" s="99">
        <f t="shared" si="3"/>
        <v>19.79</v>
      </c>
      <c r="M14" s="99">
        <v>6.64</v>
      </c>
      <c r="N14" s="107">
        <f t="shared" si="4"/>
        <v>968.97</v>
      </c>
      <c r="O14" s="108">
        <f t="shared" si="5"/>
        <v>402.78</v>
      </c>
      <c r="P14" s="109"/>
      <c r="Q14" s="109"/>
    </row>
    <row r="15" s="13" customFormat="1" ht="24" customHeight="1" spans="1:17">
      <c r="A15" s="94">
        <v>11</v>
      </c>
      <c r="B15" s="95" t="s">
        <v>453</v>
      </c>
      <c r="C15" s="277" t="s">
        <v>454</v>
      </c>
      <c r="D15" s="97">
        <v>202008</v>
      </c>
      <c r="E15" s="98" t="s">
        <v>433</v>
      </c>
      <c r="F15" s="96" t="s">
        <v>439</v>
      </c>
      <c r="G15" s="99">
        <f t="shared" si="0"/>
        <v>553.98</v>
      </c>
      <c r="H15" s="99">
        <f t="shared" si="1"/>
        <v>316.56</v>
      </c>
      <c r="I15" s="99">
        <f t="shared" si="2"/>
        <v>391.743</v>
      </c>
      <c r="J15" s="99">
        <v>66.43</v>
      </c>
      <c r="K15" s="99">
        <v>16.61</v>
      </c>
      <c r="L15" s="99">
        <f t="shared" si="3"/>
        <v>19.79</v>
      </c>
      <c r="M15" s="99">
        <v>6.64</v>
      </c>
      <c r="N15" s="107">
        <f t="shared" si="4"/>
        <v>968.97</v>
      </c>
      <c r="O15" s="108">
        <f t="shared" si="5"/>
        <v>402.78</v>
      </c>
      <c r="P15" s="109">
        <v>241</v>
      </c>
      <c r="Q15" s="109">
        <v>241</v>
      </c>
    </row>
    <row r="16" s="13" customFormat="1" ht="24" customHeight="1" spans="1:17">
      <c r="A16" s="94">
        <v>12</v>
      </c>
      <c r="B16" s="95" t="s">
        <v>71</v>
      </c>
      <c r="C16" s="277" t="s">
        <v>72</v>
      </c>
      <c r="D16" s="97">
        <v>202008</v>
      </c>
      <c r="E16" s="98" t="s">
        <v>433</v>
      </c>
      <c r="F16" s="96" t="s">
        <v>434</v>
      </c>
      <c r="G16" s="99">
        <f t="shared" si="0"/>
        <v>553.98</v>
      </c>
      <c r="H16" s="99">
        <f t="shared" si="1"/>
        <v>316.56</v>
      </c>
      <c r="I16" s="99">
        <f t="shared" si="2"/>
        <v>391.743</v>
      </c>
      <c r="J16" s="99">
        <v>66.43</v>
      </c>
      <c r="K16" s="99">
        <v>16.61</v>
      </c>
      <c r="L16" s="99">
        <f t="shared" si="3"/>
        <v>19.79</v>
      </c>
      <c r="M16" s="99">
        <v>6.64</v>
      </c>
      <c r="N16" s="107">
        <f t="shared" si="4"/>
        <v>968.97</v>
      </c>
      <c r="O16" s="108">
        <f t="shared" si="5"/>
        <v>402.78</v>
      </c>
      <c r="P16" s="109"/>
      <c r="Q16" s="109"/>
    </row>
    <row r="17" s="13" customFormat="1" ht="24" customHeight="1" spans="1:17">
      <c r="A17" s="94">
        <v>13</v>
      </c>
      <c r="B17" s="95" t="s">
        <v>209</v>
      </c>
      <c r="C17" s="277" t="s">
        <v>210</v>
      </c>
      <c r="D17" s="97">
        <v>202008</v>
      </c>
      <c r="E17" s="98" t="s">
        <v>433</v>
      </c>
      <c r="F17" s="96" t="s">
        <v>452</v>
      </c>
      <c r="G17" s="99">
        <f t="shared" si="0"/>
        <v>553.98</v>
      </c>
      <c r="H17" s="99">
        <f t="shared" si="1"/>
        <v>316.56</v>
      </c>
      <c r="I17" s="99">
        <f t="shared" si="2"/>
        <v>391.743</v>
      </c>
      <c r="J17" s="99">
        <v>66.43</v>
      </c>
      <c r="K17" s="99">
        <v>16.61</v>
      </c>
      <c r="L17" s="99">
        <f t="shared" si="3"/>
        <v>19.79</v>
      </c>
      <c r="M17" s="99">
        <v>6.64</v>
      </c>
      <c r="N17" s="107">
        <f t="shared" si="4"/>
        <v>968.97</v>
      </c>
      <c r="O17" s="108">
        <f t="shared" si="5"/>
        <v>402.78</v>
      </c>
      <c r="P17" s="109"/>
      <c r="Q17" s="109"/>
    </row>
    <row r="18" s="13" customFormat="1" ht="24" customHeight="1" spans="1:17">
      <c r="A18" s="94">
        <v>14</v>
      </c>
      <c r="B18" s="95" t="s">
        <v>455</v>
      </c>
      <c r="C18" s="277" t="s">
        <v>456</v>
      </c>
      <c r="D18" s="97">
        <v>202009</v>
      </c>
      <c r="E18" s="98" t="s">
        <v>433</v>
      </c>
      <c r="F18" s="96" t="s">
        <v>452</v>
      </c>
      <c r="G18" s="99">
        <f t="shared" si="0"/>
        <v>553.98</v>
      </c>
      <c r="H18" s="99">
        <f t="shared" si="1"/>
        <v>316.56</v>
      </c>
      <c r="I18" s="99">
        <f t="shared" si="2"/>
        <v>391.743</v>
      </c>
      <c r="J18" s="99">
        <v>66.43</v>
      </c>
      <c r="K18" s="99">
        <v>16.61</v>
      </c>
      <c r="L18" s="99">
        <f t="shared" si="3"/>
        <v>19.79</v>
      </c>
      <c r="M18" s="99">
        <v>6.64</v>
      </c>
      <c r="N18" s="107">
        <f t="shared" si="4"/>
        <v>968.97</v>
      </c>
      <c r="O18" s="108">
        <f t="shared" si="5"/>
        <v>402.78</v>
      </c>
      <c r="P18" s="109"/>
      <c r="Q18" s="109"/>
    </row>
    <row r="19" ht="22.5" customHeight="1" spans="1:17">
      <c r="A19" s="94">
        <v>15</v>
      </c>
      <c r="B19" s="100" t="s">
        <v>457</v>
      </c>
      <c r="C19" s="278" t="s">
        <v>458</v>
      </c>
      <c r="D19" s="96">
        <v>202012</v>
      </c>
      <c r="E19" s="98" t="s">
        <v>433</v>
      </c>
      <c r="F19" s="96" t="s">
        <v>452</v>
      </c>
      <c r="G19" s="99">
        <f t="shared" si="0"/>
        <v>553.98</v>
      </c>
      <c r="H19" s="99">
        <f t="shared" si="1"/>
        <v>316.56</v>
      </c>
      <c r="I19" s="99">
        <f t="shared" si="2"/>
        <v>391.743</v>
      </c>
      <c r="J19" s="99">
        <v>66.43</v>
      </c>
      <c r="K19" s="99">
        <v>16.61</v>
      </c>
      <c r="L19" s="99">
        <f t="shared" si="3"/>
        <v>19.79</v>
      </c>
      <c r="M19" s="99">
        <v>6.64</v>
      </c>
      <c r="N19" s="107">
        <f t="shared" si="4"/>
        <v>968.97</v>
      </c>
      <c r="O19" s="108">
        <f t="shared" si="5"/>
        <v>402.78</v>
      </c>
      <c r="P19" s="109"/>
      <c r="Q19" s="109"/>
    </row>
    <row r="20" ht="24.95" customHeight="1" spans="1:17">
      <c r="A20" s="94">
        <v>16</v>
      </c>
      <c r="B20" s="100" t="s">
        <v>459</v>
      </c>
      <c r="C20" s="100" t="s">
        <v>460</v>
      </c>
      <c r="D20" s="96">
        <v>202109</v>
      </c>
      <c r="E20" s="98" t="s">
        <v>433</v>
      </c>
      <c r="F20" s="96" t="s">
        <v>448</v>
      </c>
      <c r="G20" s="99">
        <f t="shared" si="0"/>
        <v>553.98</v>
      </c>
      <c r="H20" s="99">
        <f t="shared" si="1"/>
        <v>316.56</v>
      </c>
      <c r="I20" s="99">
        <f t="shared" si="2"/>
        <v>391.743</v>
      </c>
      <c r="J20" s="99">
        <v>66.43</v>
      </c>
      <c r="K20" s="99">
        <v>16.61</v>
      </c>
      <c r="L20" s="99">
        <f t="shared" si="3"/>
        <v>19.79</v>
      </c>
      <c r="M20" s="99">
        <v>6.64</v>
      </c>
      <c r="N20" s="107">
        <f t="shared" si="4"/>
        <v>968.97</v>
      </c>
      <c r="O20" s="108">
        <f t="shared" si="5"/>
        <v>402.78</v>
      </c>
      <c r="P20" s="109"/>
      <c r="Q20" s="109"/>
    </row>
    <row r="21" ht="22.5" customHeight="1" spans="1:17">
      <c r="A21" s="94">
        <v>17</v>
      </c>
      <c r="B21" s="100" t="s">
        <v>461</v>
      </c>
      <c r="C21" s="100"/>
      <c r="D21" s="96">
        <v>202105</v>
      </c>
      <c r="E21" s="98" t="s">
        <v>433</v>
      </c>
      <c r="F21" s="96" t="s">
        <v>452</v>
      </c>
      <c r="G21" s="99">
        <f t="shared" si="0"/>
        <v>553.98</v>
      </c>
      <c r="H21" s="99">
        <f t="shared" si="1"/>
        <v>316.56</v>
      </c>
      <c r="I21" s="99">
        <f t="shared" si="2"/>
        <v>391.743</v>
      </c>
      <c r="J21" s="99">
        <v>66.43</v>
      </c>
      <c r="K21" s="99">
        <v>16.61</v>
      </c>
      <c r="L21" s="99">
        <f t="shared" si="3"/>
        <v>19.79</v>
      </c>
      <c r="M21" s="99">
        <v>6.64</v>
      </c>
      <c r="N21" s="107">
        <f t="shared" si="4"/>
        <v>968.97</v>
      </c>
      <c r="O21" s="108">
        <f t="shared" si="5"/>
        <v>402.78</v>
      </c>
      <c r="P21" s="109"/>
      <c r="Q21" s="109"/>
    </row>
    <row r="22" ht="21.95" customHeight="1" spans="1:17">
      <c r="A22" s="94"/>
      <c r="B22" s="101"/>
      <c r="C22" s="101"/>
      <c r="D22" s="101"/>
      <c r="E22" s="101"/>
      <c r="F22" s="102"/>
      <c r="G22" s="99">
        <f t="shared" ref="G22:Q22" si="6">SUM(G5:G21)</f>
        <v>9417.66</v>
      </c>
      <c r="H22" s="99">
        <f t="shared" si="6"/>
        <v>5381.52</v>
      </c>
      <c r="I22" s="99">
        <f t="shared" si="6"/>
        <v>6659.631</v>
      </c>
      <c r="J22" s="99">
        <f t="shared" si="6"/>
        <v>1129.31</v>
      </c>
      <c r="K22" s="99">
        <f t="shared" si="6"/>
        <v>282.37</v>
      </c>
      <c r="L22" s="99">
        <f t="shared" si="6"/>
        <v>336.43</v>
      </c>
      <c r="M22" s="99">
        <f t="shared" si="6"/>
        <v>112.88</v>
      </c>
      <c r="N22" s="99">
        <f t="shared" si="6"/>
        <v>16472.49</v>
      </c>
      <c r="O22" s="110">
        <f t="shared" si="6"/>
        <v>6847.26</v>
      </c>
      <c r="P22" s="99">
        <f t="shared" si="6"/>
        <v>5782</v>
      </c>
      <c r="Q22" s="99">
        <f t="shared" si="6"/>
        <v>5782</v>
      </c>
    </row>
    <row r="27" customHeight="1" spans="14:14">
      <c r="N27" s="2" t="s">
        <v>462</v>
      </c>
    </row>
  </sheetData>
  <mergeCells count="15">
    <mergeCell ref="A1:Q1"/>
    <mergeCell ref="G2:M2"/>
    <mergeCell ref="G3:H3"/>
    <mergeCell ref="I3:J3"/>
    <mergeCell ref="K3:L3"/>
    <mergeCell ref="A2:A4"/>
    <mergeCell ref="B2:B4"/>
    <mergeCell ref="C2:C4"/>
    <mergeCell ref="D2:D4"/>
    <mergeCell ref="E2:E4"/>
    <mergeCell ref="F2:F4"/>
    <mergeCell ref="M3:M4"/>
    <mergeCell ref="N2:N4"/>
    <mergeCell ref="O2:O4"/>
    <mergeCell ref="P2:Q3"/>
  </mergeCells>
  <pageMargins left="0.7" right="0.7" top="0.75" bottom="0.75" header="0.3" footer="0.3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55"/>
  <sheetViews>
    <sheetView workbookViewId="0">
      <pane xSplit="5" ySplit="1" topLeftCell="F2" activePane="bottomRight" state="frozen"/>
      <selection/>
      <selection pane="topRight"/>
      <selection pane="bottomLeft"/>
      <selection pane="bottomRight" activeCell="K5" sqref="K5"/>
    </sheetView>
  </sheetViews>
  <sheetFormatPr defaultColWidth="7.375" defaultRowHeight="14.25"/>
  <cols>
    <col min="1" max="1" width="6.24166666666667" style="63" customWidth="1"/>
    <col min="2" max="2" width="11.5416666666667" style="63" customWidth="1"/>
    <col min="3" max="4" width="12.3833333333333" style="63" customWidth="1"/>
    <col min="5" max="5" width="14.3" style="63" customWidth="1"/>
    <col min="6" max="6" width="10.85" style="63" customWidth="1"/>
    <col min="7" max="7" width="11.45" style="63" customWidth="1"/>
    <col min="8" max="8" width="10.3083333333333" style="63" customWidth="1"/>
    <col min="9" max="9" width="11.5416666666667" style="63" customWidth="1"/>
    <col min="10" max="10" width="9" style="63" customWidth="1"/>
    <col min="11" max="11" width="10.0666666666667" style="63" customWidth="1"/>
    <col min="12" max="12" width="13.15" style="63" customWidth="1"/>
    <col min="13" max="13" width="9.91666666666667" style="63" customWidth="1"/>
    <col min="14" max="14" width="10.55" style="63" customWidth="1"/>
    <col min="15" max="16" width="11.85" style="63" customWidth="1"/>
    <col min="17" max="17" width="9.25" style="63"/>
    <col min="18" max="16384" width="7.375" style="63"/>
  </cols>
  <sheetData>
    <row r="1" s="63" customFormat="1" ht="24" customHeight="1" spans="1:16">
      <c r="A1" s="65" t="s">
        <v>463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="63" customFormat="1" ht="22" customHeight="1" spans="1:16">
      <c r="A2" s="67"/>
      <c r="B2" s="68" t="s">
        <v>464</v>
      </c>
      <c r="C2" s="69"/>
      <c r="D2" s="69" t="s">
        <v>465</v>
      </c>
      <c r="E2" s="70" t="s">
        <v>466</v>
      </c>
      <c r="F2" s="71" t="s">
        <v>467</v>
      </c>
      <c r="G2" s="71"/>
      <c r="H2" s="71"/>
      <c r="I2" s="71"/>
      <c r="J2" s="68" t="s">
        <v>468</v>
      </c>
      <c r="K2" s="70"/>
      <c r="L2" s="70"/>
      <c r="M2" s="70"/>
      <c r="N2" s="70"/>
      <c r="O2" s="70"/>
      <c r="P2" s="71"/>
    </row>
    <row r="3" s="64" customFormat="1" ht="15.75" spans="1:17">
      <c r="A3" s="72" t="s">
        <v>2</v>
      </c>
      <c r="B3" s="72" t="s">
        <v>4</v>
      </c>
      <c r="C3" s="72" t="s">
        <v>3</v>
      </c>
      <c r="D3" s="72" t="s">
        <v>365</v>
      </c>
      <c r="E3" s="72" t="s">
        <v>366</v>
      </c>
      <c r="F3" s="72" t="s">
        <v>469</v>
      </c>
      <c r="G3" s="72"/>
      <c r="H3" s="72" t="s">
        <v>470</v>
      </c>
      <c r="I3" s="72"/>
      <c r="J3" s="72" t="s">
        <v>471</v>
      </c>
      <c r="K3" s="72"/>
      <c r="L3" s="73" t="s">
        <v>472</v>
      </c>
      <c r="M3" s="72" t="s">
        <v>473</v>
      </c>
      <c r="N3" s="72"/>
      <c r="O3" s="83" t="s">
        <v>474</v>
      </c>
      <c r="P3" s="83" t="s">
        <v>475</v>
      </c>
      <c r="Q3" s="86" t="s">
        <v>222</v>
      </c>
    </row>
    <row r="4" s="63" customFormat="1" spans="1:17">
      <c r="A4" s="72"/>
      <c r="B4" s="72"/>
      <c r="C4" s="72"/>
      <c r="D4" s="72"/>
      <c r="E4" s="72"/>
      <c r="F4" s="72" t="s">
        <v>476</v>
      </c>
      <c r="G4" s="73" t="s">
        <v>477</v>
      </c>
      <c r="H4" s="72" t="s">
        <v>476</v>
      </c>
      <c r="I4" s="73" t="s">
        <v>477</v>
      </c>
      <c r="J4" s="72" t="s">
        <v>476</v>
      </c>
      <c r="K4" s="73" t="s">
        <v>477</v>
      </c>
      <c r="L4" s="73" t="s">
        <v>476</v>
      </c>
      <c r="M4" s="72" t="s">
        <v>476</v>
      </c>
      <c r="N4" s="73" t="s">
        <v>477</v>
      </c>
      <c r="O4" s="84"/>
      <c r="P4" s="84"/>
      <c r="Q4" s="86"/>
    </row>
    <row r="5" s="63" customFormat="1" spans="1:17">
      <c r="A5" s="74">
        <v>1</v>
      </c>
      <c r="B5" s="75" t="s">
        <v>169</v>
      </c>
      <c r="C5" s="74" t="s">
        <v>165</v>
      </c>
      <c r="D5" s="75" t="s">
        <v>406</v>
      </c>
      <c r="E5" s="75" t="s">
        <v>170</v>
      </c>
      <c r="F5" s="74">
        <v>721.8</v>
      </c>
      <c r="G5" s="74">
        <v>384.96</v>
      </c>
      <c r="H5" s="75"/>
      <c r="I5" s="75"/>
      <c r="J5" s="74">
        <v>24.06</v>
      </c>
      <c r="K5" s="74">
        <v>24.06</v>
      </c>
      <c r="L5" s="74">
        <v>9.62</v>
      </c>
      <c r="M5" s="74">
        <v>457.14</v>
      </c>
      <c r="N5" s="74">
        <v>96.24</v>
      </c>
      <c r="O5" s="85">
        <f>N5+G5+K5</f>
        <v>505.26</v>
      </c>
      <c r="P5" s="85">
        <f>M5+L5+J5+F5</f>
        <v>1212.62</v>
      </c>
      <c r="Q5" s="74">
        <f>O5+P5</f>
        <v>1717.88</v>
      </c>
    </row>
    <row r="6" s="63" customFormat="1" spans="1:17">
      <c r="A6" s="74">
        <v>2</v>
      </c>
      <c r="B6" s="75" t="s">
        <v>158</v>
      </c>
      <c r="C6" s="74" t="s">
        <v>152</v>
      </c>
      <c r="D6" s="75" t="s">
        <v>406</v>
      </c>
      <c r="E6" s="75" t="s">
        <v>159</v>
      </c>
      <c r="F6" s="74">
        <v>721.8</v>
      </c>
      <c r="G6" s="74">
        <v>384.96</v>
      </c>
      <c r="H6" s="75"/>
      <c r="I6" s="75"/>
      <c r="J6" s="74">
        <v>24.06</v>
      </c>
      <c r="K6" s="74">
        <v>24.06</v>
      </c>
      <c r="L6" s="74">
        <v>9.62</v>
      </c>
      <c r="M6" s="74">
        <v>457.14</v>
      </c>
      <c r="N6" s="74">
        <v>96.24</v>
      </c>
      <c r="O6" s="85">
        <f t="shared" ref="O6:O44" si="0">N6+G6+K6</f>
        <v>505.26</v>
      </c>
      <c r="P6" s="85">
        <f t="shared" ref="P6:P37" si="1">M6+L6+J6+F6</f>
        <v>1212.62</v>
      </c>
      <c r="Q6" s="74">
        <f t="shared" ref="Q6:Q37" si="2">O6+P6</f>
        <v>1717.88</v>
      </c>
    </row>
    <row r="7" s="63" customFormat="1" spans="1:17">
      <c r="A7" s="74">
        <v>3</v>
      </c>
      <c r="B7" s="75" t="s">
        <v>133</v>
      </c>
      <c r="C7" s="74" t="s">
        <v>128</v>
      </c>
      <c r="D7" s="75" t="s">
        <v>406</v>
      </c>
      <c r="E7" s="75" t="s">
        <v>134</v>
      </c>
      <c r="F7" s="74">
        <v>721.8</v>
      </c>
      <c r="G7" s="74">
        <v>384.96</v>
      </c>
      <c r="H7" s="75"/>
      <c r="I7" s="75"/>
      <c r="J7" s="74">
        <v>24.06</v>
      </c>
      <c r="K7" s="74">
        <v>24.06</v>
      </c>
      <c r="L7" s="74">
        <v>9.62</v>
      </c>
      <c r="M7" s="74">
        <v>457.14</v>
      </c>
      <c r="N7" s="74">
        <v>96.24</v>
      </c>
      <c r="O7" s="85">
        <f t="shared" si="0"/>
        <v>505.26</v>
      </c>
      <c r="P7" s="85">
        <f t="shared" si="1"/>
        <v>1212.62</v>
      </c>
      <c r="Q7" s="74">
        <f t="shared" si="2"/>
        <v>1717.88</v>
      </c>
    </row>
    <row r="8" s="63" customFormat="1" spans="1:17">
      <c r="A8" s="74">
        <v>4</v>
      </c>
      <c r="B8" s="75" t="s">
        <v>166</v>
      </c>
      <c r="C8" s="74" t="s">
        <v>165</v>
      </c>
      <c r="D8" s="75" t="s">
        <v>406</v>
      </c>
      <c r="E8" s="75" t="s">
        <v>167</v>
      </c>
      <c r="F8" s="74">
        <v>721.8</v>
      </c>
      <c r="G8" s="74">
        <v>384.96</v>
      </c>
      <c r="H8" s="75"/>
      <c r="I8" s="75"/>
      <c r="J8" s="74">
        <v>24.06</v>
      </c>
      <c r="K8" s="74">
        <v>24.06</v>
      </c>
      <c r="L8" s="74">
        <v>9.62</v>
      </c>
      <c r="M8" s="74">
        <v>457.14</v>
      </c>
      <c r="N8" s="74">
        <v>96.24</v>
      </c>
      <c r="O8" s="85">
        <f t="shared" si="0"/>
        <v>505.26</v>
      </c>
      <c r="P8" s="85">
        <f t="shared" si="1"/>
        <v>1212.62</v>
      </c>
      <c r="Q8" s="74">
        <f t="shared" si="2"/>
        <v>1717.88</v>
      </c>
    </row>
    <row r="9" s="63" customFormat="1" spans="1:17">
      <c r="A9" s="74">
        <v>5</v>
      </c>
      <c r="B9" s="75" t="s">
        <v>78</v>
      </c>
      <c r="C9" s="74" t="s">
        <v>67</v>
      </c>
      <c r="D9" s="75" t="s">
        <v>406</v>
      </c>
      <c r="E9" s="75" t="s">
        <v>79</v>
      </c>
      <c r="F9" s="74">
        <v>721.8</v>
      </c>
      <c r="G9" s="74">
        <v>384.96</v>
      </c>
      <c r="H9" s="75"/>
      <c r="I9" s="75"/>
      <c r="J9" s="74">
        <v>24.06</v>
      </c>
      <c r="K9" s="74">
        <v>24.06</v>
      </c>
      <c r="L9" s="74">
        <v>9.62</v>
      </c>
      <c r="M9" s="74">
        <v>457.14</v>
      </c>
      <c r="N9" s="74">
        <v>96.24</v>
      </c>
      <c r="O9" s="85">
        <f t="shared" si="0"/>
        <v>505.26</v>
      </c>
      <c r="P9" s="85">
        <f t="shared" si="1"/>
        <v>1212.62</v>
      </c>
      <c r="Q9" s="74">
        <f t="shared" si="2"/>
        <v>1717.88</v>
      </c>
    </row>
    <row r="10" s="63" customFormat="1" spans="1:17">
      <c r="A10" s="74">
        <v>6</v>
      </c>
      <c r="B10" s="75" t="s">
        <v>75</v>
      </c>
      <c r="C10" s="74" t="s">
        <v>67</v>
      </c>
      <c r="D10" s="75" t="s">
        <v>406</v>
      </c>
      <c r="E10" s="75" t="s">
        <v>76</v>
      </c>
      <c r="F10" s="74">
        <v>721.8</v>
      </c>
      <c r="G10" s="74">
        <v>384.96</v>
      </c>
      <c r="H10" s="75"/>
      <c r="I10" s="75"/>
      <c r="J10" s="74">
        <v>24.06</v>
      </c>
      <c r="K10" s="74">
        <v>24.06</v>
      </c>
      <c r="L10" s="74">
        <v>9.62</v>
      </c>
      <c r="M10" s="74">
        <v>457.14</v>
      </c>
      <c r="N10" s="74">
        <v>96.24</v>
      </c>
      <c r="O10" s="85">
        <f t="shared" si="0"/>
        <v>505.26</v>
      </c>
      <c r="P10" s="85">
        <f t="shared" si="1"/>
        <v>1212.62</v>
      </c>
      <c r="Q10" s="74">
        <f t="shared" si="2"/>
        <v>1717.88</v>
      </c>
    </row>
    <row r="11" s="63" customFormat="1" spans="1:17">
      <c r="A11" s="74">
        <v>7</v>
      </c>
      <c r="B11" s="75" t="s">
        <v>105</v>
      </c>
      <c r="C11" s="74" t="s">
        <v>67</v>
      </c>
      <c r="D11" s="75" t="s">
        <v>406</v>
      </c>
      <c r="E11" s="75" t="s">
        <v>106</v>
      </c>
      <c r="F11" s="74">
        <v>721.8</v>
      </c>
      <c r="G11" s="74">
        <v>384.96</v>
      </c>
      <c r="H11" s="75"/>
      <c r="I11" s="75"/>
      <c r="J11" s="74">
        <v>24.06</v>
      </c>
      <c r="K11" s="74">
        <v>24.06</v>
      </c>
      <c r="L11" s="74">
        <v>9.62</v>
      </c>
      <c r="M11" s="74">
        <v>457.14</v>
      </c>
      <c r="N11" s="74">
        <v>96.24</v>
      </c>
      <c r="O11" s="85">
        <f t="shared" si="0"/>
        <v>505.26</v>
      </c>
      <c r="P11" s="85">
        <f t="shared" si="1"/>
        <v>1212.62</v>
      </c>
      <c r="Q11" s="74">
        <f t="shared" si="2"/>
        <v>1717.88</v>
      </c>
    </row>
    <row r="12" s="63" customFormat="1" spans="1:17">
      <c r="A12" s="74">
        <v>8</v>
      </c>
      <c r="B12" s="75" t="s">
        <v>124</v>
      </c>
      <c r="C12" s="74" t="s">
        <v>47</v>
      </c>
      <c r="D12" s="75" t="s">
        <v>406</v>
      </c>
      <c r="E12" s="75" t="s">
        <v>125</v>
      </c>
      <c r="F12" s="74">
        <v>721.8</v>
      </c>
      <c r="G12" s="74">
        <v>384.96</v>
      </c>
      <c r="H12" s="75"/>
      <c r="I12" s="75"/>
      <c r="J12" s="74">
        <v>24.06</v>
      </c>
      <c r="K12" s="74">
        <v>24.06</v>
      </c>
      <c r="L12" s="74">
        <v>9.62</v>
      </c>
      <c r="M12" s="74">
        <v>457.14</v>
      </c>
      <c r="N12" s="74">
        <v>96.24</v>
      </c>
      <c r="O12" s="85">
        <f t="shared" si="0"/>
        <v>505.26</v>
      </c>
      <c r="P12" s="85">
        <f t="shared" si="1"/>
        <v>1212.62</v>
      </c>
      <c r="Q12" s="74">
        <f t="shared" si="2"/>
        <v>1717.88</v>
      </c>
    </row>
    <row r="13" s="63" customFormat="1" spans="1:17">
      <c r="A13" s="74">
        <v>9</v>
      </c>
      <c r="B13" s="75" t="s">
        <v>31</v>
      </c>
      <c r="C13" s="74" t="s">
        <v>30</v>
      </c>
      <c r="D13" s="75" t="s">
        <v>406</v>
      </c>
      <c r="E13" s="75" t="s">
        <v>32</v>
      </c>
      <c r="F13" s="74">
        <v>721.8</v>
      </c>
      <c r="G13" s="74">
        <v>384.96</v>
      </c>
      <c r="H13" s="75"/>
      <c r="I13" s="75"/>
      <c r="J13" s="74">
        <v>24.06</v>
      </c>
      <c r="K13" s="74">
        <v>24.06</v>
      </c>
      <c r="L13" s="74">
        <v>9.62</v>
      </c>
      <c r="M13" s="74">
        <v>457.14</v>
      </c>
      <c r="N13" s="74">
        <v>96.24</v>
      </c>
      <c r="O13" s="85">
        <f t="shared" si="0"/>
        <v>505.26</v>
      </c>
      <c r="P13" s="85">
        <f t="shared" si="1"/>
        <v>1212.62</v>
      </c>
      <c r="Q13" s="74">
        <f t="shared" si="2"/>
        <v>1717.88</v>
      </c>
    </row>
    <row r="14" s="63" customFormat="1" spans="1:17">
      <c r="A14" s="74">
        <v>10</v>
      </c>
      <c r="B14" s="75" t="s">
        <v>35</v>
      </c>
      <c r="C14" s="74" t="s">
        <v>30</v>
      </c>
      <c r="D14" s="75" t="s">
        <v>406</v>
      </c>
      <c r="E14" s="75" t="s">
        <v>36</v>
      </c>
      <c r="F14" s="74">
        <v>721.8</v>
      </c>
      <c r="G14" s="74">
        <v>384.96</v>
      </c>
      <c r="H14" s="75"/>
      <c r="I14" s="75"/>
      <c r="J14" s="74">
        <v>24.06</v>
      </c>
      <c r="K14" s="74">
        <v>24.06</v>
      </c>
      <c r="L14" s="74">
        <v>9.62</v>
      </c>
      <c r="M14" s="74">
        <v>457.14</v>
      </c>
      <c r="N14" s="74">
        <v>96.24</v>
      </c>
      <c r="O14" s="85">
        <f t="shared" si="0"/>
        <v>505.26</v>
      </c>
      <c r="P14" s="85">
        <f t="shared" si="1"/>
        <v>1212.62</v>
      </c>
      <c r="Q14" s="74">
        <f t="shared" si="2"/>
        <v>1717.88</v>
      </c>
    </row>
    <row r="15" s="63" customFormat="1" spans="1:17">
      <c r="A15" s="74">
        <v>11</v>
      </c>
      <c r="B15" s="75" t="s">
        <v>139</v>
      </c>
      <c r="C15" s="74" t="s">
        <v>30</v>
      </c>
      <c r="D15" s="75" t="s">
        <v>406</v>
      </c>
      <c r="E15" s="75" t="s">
        <v>140</v>
      </c>
      <c r="F15" s="74">
        <v>721.8</v>
      </c>
      <c r="G15" s="74">
        <v>384.96</v>
      </c>
      <c r="H15" s="75"/>
      <c r="I15" s="75"/>
      <c r="J15" s="74">
        <v>24.06</v>
      </c>
      <c r="K15" s="74">
        <v>24.06</v>
      </c>
      <c r="L15" s="74">
        <v>9.62</v>
      </c>
      <c r="M15" s="74">
        <v>457.14</v>
      </c>
      <c r="N15" s="74">
        <v>96.24</v>
      </c>
      <c r="O15" s="85">
        <f t="shared" si="0"/>
        <v>505.26</v>
      </c>
      <c r="P15" s="85">
        <f t="shared" si="1"/>
        <v>1212.62</v>
      </c>
      <c r="Q15" s="74">
        <f t="shared" si="2"/>
        <v>1717.88</v>
      </c>
    </row>
    <row r="16" s="63" customFormat="1" spans="1:17">
      <c r="A16" s="74">
        <v>12</v>
      </c>
      <c r="B16" s="75" t="s">
        <v>175</v>
      </c>
      <c r="C16" s="74" t="s">
        <v>165</v>
      </c>
      <c r="D16" s="75" t="s">
        <v>406</v>
      </c>
      <c r="E16" s="75" t="s">
        <v>176</v>
      </c>
      <c r="F16" s="74">
        <v>721.8</v>
      </c>
      <c r="G16" s="74">
        <v>384.96</v>
      </c>
      <c r="H16" s="75"/>
      <c r="I16" s="75"/>
      <c r="J16" s="74">
        <v>24.06</v>
      </c>
      <c r="K16" s="74">
        <v>24.06</v>
      </c>
      <c r="L16" s="74">
        <v>9.62</v>
      </c>
      <c r="M16" s="74">
        <v>457.14</v>
      </c>
      <c r="N16" s="74">
        <v>96.24</v>
      </c>
      <c r="O16" s="85">
        <f t="shared" si="0"/>
        <v>505.26</v>
      </c>
      <c r="P16" s="85">
        <f t="shared" si="1"/>
        <v>1212.62</v>
      </c>
      <c r="Q16" s="74">
        <f t="shared" si="2"/>
        <v>1717.88</v>
      </c>
    </row>
    <row r="17" s="63" customFormat="1" spans="1:17">
      <c r="A17" s="74">
        <v>13</v>
      </c>
      <c r="B17" s="75" t="s">
        <v>156</v>
      </c>
      <c r="C17" s="74" t="s">
        <v>152</v>
      </c>
      <c r="D17" s="75" t="s">
        <v>406</v>
      </c>
      <c r="E17" s="75" t="s">
        <v>157</v>
      </c>
      <c r="F17" s="74">
        <v>721.8</v>
      </c>
      <c r="G17" s="74">
        <v>384.96</v>
      </c>
      <c r="H17" s="75"/>
      <c r="I17" s="75"/>
      <c r="J17" s="74">
        <v>24.06</v>
      </c>
      <c r="K17" s="74">
        <v>24.06</v>
      </c>
      <c r="L17" s="74">
        <v>9.62</v>
      </c>
      <c r="M17" s="74">
        <v>457.14</v>
      </c>
      <c r="N17" s="74">
        <v>96.24</v>
      </c>
      <c r="O17" s="85">
        <f t="shared" si="0"/>
        <v>505.26</v>
      </c>
      <c r="P17" s="85">
        <f t="shared" si="1"/>
        <v>1212.62</v>
      </c>
      <c r="Q17" s="74">
        <f t="shared" si="2"/>
        <v>1717.88</v>
      </c>
    </row>
    <row r="18" s="63" customFormat="1" spans="1:17">
      <c r="A18" s="74">
        <v>14</v>
      </c>
      <c r="B18" s="75" t="s">
        <v>148</v>
      </c>
      <c r="C18" s="74" t="s">
        <v>143</v>
      </c>
      <c r="D18" s="75" t="s">
        <v>406</v>
      </c>
      <c r="E18" s="75" t="s">
        <v>149</v>
      </c>
      <c r="F18" s="74">
        <v>721.8</v>
      </c>
      <c r="G18" s="74">
        <v>384.96</v>
      </c>
      <c r="H18" s="75"/>
      <c r="I18" s="75"/>
      <c r="J18" s="74">
        <v>24.06</v>
      </c>
      <c r="K18" s="74">
        <v>24.06</v>
      </c>
      <c r="L18" s="74">
        <v>9.62</v>
      </c>
      <c r="M18" s="74">
        <v>457.14</v>
      </c>
      <c r="N18" s="74">
        <v>96.24</v>
      </c>
      <c r="O18" s="85">
        <f t="shared" si="0"/>
        <v>505.26</v>
      </c>
      <c r="P18" s="85">
        <f t="shared" si="1"/>
        <v>1212.62</v>
      </c>
      <c r="Q18" s="74">
        <f t="shared" si="2"/>
        <v>1717.88</v>
      </c>
    </row>
    <row r="19" s="63" customFormat="1" spans="1:17">
      <c r="A19" s="74">
        <v>15</v>
      </c>
      <c r="B19" s="75" t="s">
        <v>93</v>
      </c>
      <c r="C19" s="74" t="s">
        <v>67</v>
      </c>
      <c r="D19" s="75" t="s">
        <v>406</v>
      </c>
      <c r="E19" s="75" t="s">
        <v>94</v>
      </c>
      <c r="F19" s="74">
        <v>721.8</v>
      </c>
      <c r="G19" s="74">
        <v>384.96</v>
      </c>
      <c r="H19" s="75"/>
      <c r="I19" s="75"/>
      <c r="J19" s="74">
        <v>24.06</v>
      </c>
      <c r="K19" s="74">
        <v>24.06</v>
      </c>
      <c r="L19" s="74">
        <v>9.62</v>
      </c>
      <c r="M19" s="74">
        <v>457.14</v>
      </c>
      <c r="N19" s="74">
        <v>96.24</v>
      </c>
      <c r="O19" s="85">
        <f t="shared" si="0"/>
        <v>505.26</v>
      </c>
      <c r="P19" s="85">
        <f t="shared" si="1"/>
        <v>1212.62</v>
      </c>
      <c r="Q19" s="74">
        <f t="shared" si="2"/>
        <v>1717.88</v>
      </c>
    </row>
    <row r="20" s="63" customFormat="1" spans="1:17">
      <c r="A20" s="74">
        <v>16</v>
      </c>
      <c r="B20" s="75" t="s">
        <v>100</v>
      </c>
      <c r="C20" s="74" t="s">
        <v>67</v>
      </c>
      <c r="D20" s="75" t="s">
        <v>406</v>
      </c>
      <c r="E20" s="75" t="s">
        <v>101</v>
      </c>
      <c r="F20" s="74">
        <v>721.8</v>
      </c>
      <c r="G20" s="74">
        <v>384.96</v>
      </c>
      <c r="H20" s="75"/>
      <c r="I20" s="75"/>
      <c r="J20" s="74">
        <v>24.06</v>
      </c>
      <c r="K20" s="74">
        <v>24.06</v>
      </c>
      <c r="L20" s="74">
        <v>9.62</v>
      </c>
      <c r="M20" s="74">
        <v>457.14</v>
      </c>
      <c r="N20" s="74">
        <v>96.24</v>
      </c>
      <c r="O20" s="85">
        <f t="shared" si="0"/>
        <v>505.26</v>
      </c>
      <c r="P20" s="85">
        <f t="shared" si="1"/>
        <v>1212.62</v>
      </c>
      <c r="Q20" s="74">
        <f t="shared" si="2"/>
        <v>1717.88</v>
      </c>
    </row>
    <row r="21" s="63" customFormat="1" spans="1:17">
      <c r="A21" s="74">
        <v>17</v>
      </c>
      <c r="B21" s="75" t="s">
        <v>103</v>
      </c>
      <c r="C21" s="74" t="s">
        <v>67</v>
      </c>
      <c r="D21" s="75" t="s">
        <v>406</v>
      </c>
      <c r="E21" s="75" t="s">
        <v>104</v>
      </c>
      <c r="F21" s="74">
        <v>721.8</v>
      </c>
      <c r="G21" s="74">
        <v>384.96</v>
      </c>
      <c r="H21" s="75"/>
      <c r="I21" s="75"/>
      <c r="J21" s="74">
        <v>24.06</v>
      </c>
      <c r="K21" s="74">
        <v>24.06</v>
      </c>
      <c r="L21" s="74">
        <v>9.62</v>
      </c>
      <c r="M21" s="74">
        <v>457.14</v>
      </c>
      <c r="N21" s="74">
        <v>96.24</v>
      </c>
      <c r="O21" s="85">
        <f t="shared" si="0"/>
        <v>505.26</v>
      </c>
      <c r="P21" s="85">
        <f t="shared" si="1"/>
        <v>1212.62</v>
      </c>
      <c r="Q21" s="74">
        <f t="shared" si="2"/>
        <v>1717.88</v>
      </c>
    </row>
    <row r="22" s="63" customFormat="1" spans="1:17">
      <c r="A22" s="74">
        <v>18</v>
      </c>
      <c r="B22" s="75" t="s">
        <v>183</v>
      </c>
      <c r="C22" s="74" t="s">
        <v>165</v>
      </c>
      <c r="D22" s="75" t="s">
        <v>406</v>
      </c>
      <c r="E22" s="75" t="s">
        <v>410</v>
      </c>
      <c r="F22" s="74">
        <v>721.8</v>
      </c>
      <c r="G22" s="74">
        <v>384.96</v>
      </c>
      <c r="H22" s="75"/>
      <c r="I22" s="75"/>
      <c r="J22" s="74">
        <v>24.06</v>
      </c>
      <c r="K22" s="74">
        <v>24.06</v>
      </c>
      <c r="L22" s="74">
        <v>9.62</v>
      </c>
      <c r="M22" s="74">
        <v>457.14</v>
      </c>
      <c r="N22" s="74">
        <v>96.24</v>
      </c>
      <c r="O22" s="85">
        <f t="shared" si="0"/>
        <v>505.26</v>
      </c>
      <c r="P22" s="85">
        <f t="shared" si="1"/>
        <v>1212.62</v>
      </c>
      <c r="Q22" s="74">
        <f t="shared" si="2"/>
        <v>1717.88</v>
      </c>
    </row>
    <row r="23" s="63" customFormat="1" spans="1:17">
      <c r="A23" s="74">
        <v>19</v>
      </c>
      <c r="B23" s="75" t="s">
        <v>136</v>
      </c>
      <c r="C23" s="74" t="s">
        <v>30</v>
      </c>
      <c r="D23" s="75" t="s">
        <v>406</v>
      </c>
      <c r="E23" s="75" t="s">
        <v>137</v>
      </c>
      <c r="F23" s="74">
        <v>721.8</v>
      </c>
      <c r="G23" s="74">
        <v>384.96</v>
      </c>
      <c r="H23" s="75"/>
      <c r="I23" s="75"/>
      <c r="J23" s="74">
        <v>24.06</v>
      </c>
      <c r="K23" s="74">
        <v>24.06</v>
      </c>
      <c r="L23" s="74">
        <v>9.62</v>
      </c>
      <c r="M23" s="74">
        <v>457.14</v>
      </c>
      <c r="N23" s="74">
        <v>96.24</v>
      </c>
      <c r="O23" s="85">
        <f t="shared" si="0"/>
        <v>505.26</v>
      </c>
      <c r="P23" s="85">
        <f t="shared" si="1"/>
        <v>1212.62</v>
      </c>
      <c r="Q23" s="74">
        <f t="shared" si="2"/>
        <v>1717.88</v>
      </c>
    </row>
    <row r="24" s="63" customFormat="1" spans="1:17">
      <c r="A24" s="74">
        <v>20</v>
      </c>
      <c r="B24" s="75" t="s">
        <v>64</v>
      </c>
      <c r="C24" s="74" t="s">
        <v>52</v>
      </c>
      <c r="D24" s="75" t="s">
        <v>406</v>
      </c>
      <c r="E24" s="75" t="s">
        <v>65</v>
      </c>
      <c r="F24" s="74">
        <v>721.8</v>
      </c>
      <c r="G24" s="74">
        <v>384.96</v>
      </c>
      <c r="H24" s="75"/>
      <c r="I24" s="75"/>
      <c r="J24" s="74">
        <v>24.06</v>
      </c>
      <c r="K24" s="74">
        <v>24.06</v>
      </c>
      <c r="L24" s="74">
        <v>9.62</v>
      </c>
      <c r="M24" s="74">
        <v>457.14</v>
      </c>
      <c r="N24" s="74">
        <v>96.24</v>
      </c>
      <c r="O24" s="85">
        <f t="shared" si="0"/>
        <v>505.26</v>
      </c>
      <c r="P24" s="85">
        <f t="shared" si="1"/>
        <v>1212.62</v>
      </c>
      <c r="Q24" s="74">
        <f t="shared" si="2"/>
        <v>1717.88</v>
      </c>
    </row>
    <row r="25" s="63" customFormat="1" spans="1:17">
      <c r="A25" s="74">
        <v>21</v>
      </c>
      <c r="B25" s="76" t="s">
        <v>90</v>
      </c>
      <c r="C25" s="74" t="s">
        <v>67</v>
      </c>
      <c r="D25" s="75" t="s">
        <v>406</v>
      </c>
      <c r="E25" s="75" t="s">
        <v>91</v>
      </c>
      <c r="F25" s="74">
        <v>721.8</v>
      </c>
      <c r="G25" s="74">
        <v>384.96</v>
      </c>
      <c r="H25" s="75"/>
      <c r="I25" s="75"/>
      <c r="J25" s="74">
        <v>24.06</v>
      </c>
      <c r="K25" s="74">
        <v>24.06</v>
      </c>
      <c r="L25" s="74">
        <v>9.62</v>
      </c>
      <c r="M25" s="74">
        <v>457.14</v>
      </c>
      <c r="N25" s="74">
        <v>96.24</v>
      </c>
      <c r="O25" s="85">
        <f t="shared" si="0"/>
        <v>505.26</v>
      </c>
      <c r="P25" s="85">
        <f t="shared" si="1"/>
        <v>1212.62</v>
      </c>
      <c r="Q25" s="74">
        <f t="shared" si="2"/>
        <v>1717.88</v>
      </c>
    </row>
    <row r="26" s="63" customFormat="1" spans="1:17">
      <c r="A26" s="74">
        <v>22</v>
      </c>
      <c r="B26" s="75" t="s">
        <v>129</v>
      </c>
      <c r="C26" s="74" t="s">
        <v>128</v>
      </c>
      <c r="D26" s="75" t="s">
        <v>406</v>
      </c>
      <c r="E26" s="75" t="s">
        <v>130</v>
      </c>
      <c r="F26" s="74">
        <v>721.8</v>
      </c>
      <c r="G26" s="74">
        <v>384.96</v>
      </c>
      <c r="H26" s="75"/>
      <c r="I26" s="75"/>
      <c r="J26" s="74">
        <v>24.06</v>
      </c>
      <c r="K26" s="74">
        <v>24.06</v>
      </c>
      <c r="L26" s="74">
        <v>9.62</v>
      </c>
      <c r="M26" s="74">
        <v>457.14</v>
      </c>
      <c r="N26" s="74">
        <v>96.24</v>
      </c>
      <c r="O26" s="85">
        <f t="shared" si="0"/>
        <v>505.26</v>
      </c>
      <c r="P26" s="85">
        <f t="shared" si="1"/>
        <v>1212.62</v>
      </c>
      <c r="Q26" s="74">
        <f t="shared" si="2"/>
        <v>1717.88</v>
      </c>
    </row>
    <row r="27" s="63" customFormat="1" spans="1:17">
      <c r="A27" s="74">
        <v>23</v>
      </c>
      <c r="B27" s="75" t="s">
        <v>53</v>
      </c>
      <c r="C27" s="74" t="s">
        <v>52</v>
      </c>
      <c r="D27" s="75" t="s">
        <v>406</v>
      </c>
      <c r="E27" s="75" t="s">
        <v>54</v>
      </c>
      <c r="F27" s="74">
        <v>721.8</v>
      </c>
      <c r="G27" s="74">
        <v>384.96</v>
      </c>
      <c r="H27" s="75"/>
      <c r="I27" s="75"/>
      <c r="J27" s="74">
        <v>24.06</v>
      </c>
      <c r="K27" s="74">
        <v>24.06</v>
      </c>
      <c r="L27" s="74">
        <v>9.62</v>
      </c>
      <c r="M27" s="74">
        <v>457.14</v>
      </c>
      <c r="N27" s="74">
        <v>96.24</v>
      </c>
      <c r="O27" s="85">
        <f t="shared" si="0"/>
        <v>505.26</v>
      </c>
      <c r="P27" s="85">
        <f t="shared" si="1"/>
        <v>1212.62</v>
      </c>
      <c r="Q27" s="74">
        <f t="shared" si="2"/>
        <v>1717.88</v>
      </c>
    </row>
    <row r="28" s="63" customFormat="1" spans="1:17">
      <c r="A28" s="74">
        <v>24</v>
      </c>
      <c r="B28" s="41" t="s">
        <v>61</v>
      </c>
      <c r="C28" s="74" t="s">
        <v>52</v>
      </c>
      <c r="D28" s="75" t="s">
        <v>406</v>
      </c>
      <c r="E28" s="75" t="s">
        <v>62</v>
      </c>
      <c r="F28" s="74">
        <v>721.8</v>
      </c>
      <c r="G28" s="74">
        <v>384.96</v>
      </c>
      <c r="H28" s="75"/>
      <c r="I28" s="75"/>
      <c r="J28" s="74">
        <v>24.06</v>
      </c>
      <c r="K28" s="74">
        <v>24.06</v>
      </c>
      <c r="L28" s="74">
        <v>9.62</v>
      </c>
      <c r="M28" s="74">
        <v>457.14</v>
      </c>
      <c r="N28" s="74">
        <v>96.24</v>
      </c>
      <c r="O28" s="85">
        <f t="shared" si="0"/>
        <v>505.26</v>
      </c>
      <c r="P28" s="85">
        <f t="shared" si="1"/>
        <v>1212.62</v>
      </c>
      <c r="Q28" s="74">
        <f t="shared" si="2"/>
        <v>1717.88</v>
      </c>
    </row>
    <row r="29" s="63" customFormat="1" spans="1:17">
      <c r="A29" s="74">
        <v>25</v>
      </c>
      <c r="B29" s="41" t="s">
        <v>57</v>
      </c>
      <c r="C29" s="74" t="s">
        <v>52</v>
      </c>
      <c r="D29" s="75" t="s">
        <v>406</v>
      </c>
      <c r="E29" s="279" t="s">
        <v>58</v>
      </c>
      <c r="F29" s="74">
        <v>721.8</v>
      </c>
      <c r="G29" s="74">
        <v>384.96</v>
      </c>
      <c r="H29" s="75"/>
      <c r="I29" s="75"/>
      <c r="J29" s="74">
        <v>24.06</v>
      </c>
      <c r="K29" s="74">
        <v>24.06</v>
      </c>
      <c r="L29" s="74">
        <v>9.62</v>
      </c>
      <c r="M29" s="74">
        <v>457.14</v>
      </c>
      <c r="N29" s="74">
        <v>96.24</v>
      </c>
      <c r="O29" s="85">
        <f t="shared" si="0"/>
        <v>505.26</v>
      </c>
      <c r="P29" s="85">
        <f t="shared" si="1"/>
        <v>1212.62</v>
      </c>
      <c r="Q29" s="74">
        <f t="shared" si="2"/>
        <v>1717.88</v>
      </c>
    </row>
    <row r="30" s="63" customFormat="1" spans="1:17">
      <c r="A30" s="74">
        <v>26</v>
      </c>
      <c r="B30" s="75" t="s">
        <v>172</v>
      </c>
      <c r="C30" s="74" t="s">
        <v>165</v>
      </c>
      <c r="D30" s="75" t="s">
        <v>406</v>
      </c>
      <c r="E30" s="75" t="s">
        <v>173</v>
      </c>
      <c r="F30" s="74">
        <v>721.8</v>
      </c>
      <c r="G30" s="74">
        <v>384.96</v>
      </c>
      <c r="H30" s="75"/>
      <c r="I30" s="75"/>
      <c r="J30" s="74">
        <v>24.06</v>
      </c>
      <c r="K30" s="74">
        <v>24.06</v>
      </c>
      <c r="L30" s="74">
        <v>9.62</v>
      </c>
      <c r="M30" s="74">
        <v>457.14</v>
      </c>
      <c r="N30" s="74">
        <v>96.24</v>
      </c>
      <c r="O30" s="85">
        <f t="shared" si="0"/>
        <v>505.26</v>
      </c>
      <c r="P30" s="85">
        <f t="shared" si="1"/>
        <v>1212.62</v>
      </c>
      <c r="Q30" s="74">
        <f t="shared" si="2"/>
        <v>1717.88</v>
      </c>
    </row>
    <row r="31" s="63" customFormat="1" spans="1:17">
      <c r="A31" s="74">
        <v>27</v>
      </c>
      <c r="B31" s="75" t="s">
        <v>71</v>
      </c>
      <c r="C31" s="74" t="s">
        <v>67</v>
      </c>
      <c r="D31" s="75" t="s">
        <v>406</v>
      </c>
      <c r="E31" s="75" t="s">
        <v>72</v>
      </c>
      <c r="F31" s="74">
        <v>721.8</v>
      </c>
      <c r="G31" s="74">
        <v>384.96</v>
      </c>
      <c r="H31" s="75"/>
      <c r="I31" s="75"/>
      <c r="J31" s="74">
        <v>24.06</v>
      </c>
      <c r="K31" s="74">
        <v>24.06</v>
      </c>
      <c r="L31" s="74">
        <v>9.62</v>
      </c>
      <c r="M31" s="74">
        <v>457.14</v>
      </c>
      <c r="N31" s="74">
        <v>96.24</v>
      </c>
      <c r="O31" s="85">
        <f t="shared" si="0"/>
        <v>505.26</v>
      </c>
      <c r="P31" s="85">
        <f t="shared" si="1"/>
        <v>1212.62</v>
      </c>
      <c r="Q31" s="74">
        <f t="shared" si="2"/>
        <v>1717.88</v>
      </c>
    </row>
    <row r="32" s="63" customFormat="1" spans="1:17">
      <c r="A32" s="74">
        <v>28</v>
      </c>
      <c r="B32" s="75" t="s">
        <v>68</v>
      </c>
      <c r="C32" s="74" t="s">
        <v>67</v>
      </c>
      <c r="D32" s="75" t="s">
        <v>406</v>
      </c>
      <c r="E32" s="75" t="s">
        <v>69</v>
      </c>
      <c r="F32" s="74">
        <v>721.8</v>
      </c>
      <c r="G32" s="74">
        <v>384.96</v>
      </c>
      <c r="H32" s="75"/>
      <c r="I32" s="75"/>
      <c r="J32" s="74">
        <v>24.06</v>
      </c>
      <c r="K32" s="74">
        <v>24.06</v>
      </c>
      <c r="L32" s="74">
        <v>9.62</v>
      </c>
      <c r="M32" s="74">
        <v>457.14</v>
      </c>
      <c r="N32" s="74">
        <v>96.24</v>
      </c>
      <c r="O32" s="85">
        <f t="shared" si="0"/>
        <v>505.26</v>
      </c>
      <c r="P32" s="85">
        <f t="shared" si="1"/>
        <v>1212.62</v>
      </c>
      <c r="Q32" s="74">
        <f t="shared" si="2"/>
        <v>1717.88</v>
      </c>
    </row>
    <row r="33" s="63" customFormat="1" spans="1:17">
      <c r="A33" s="74">
        <v>29</v>
      </c>
      <c r="B33" s="75" t="s">
        <v>107</v>
      </c>
      <c r="C33" s="74" t="s">
        <v>67</v>
      </c>
      <c r="D33" s="75" t="s">
        <v>406</v>
      </c>
      <c r="E33" s="279" t="s">
        <v>109</v>
      </c>
      <c r="F33" s="74">
        <v>721.8</v>
      </c>
      <c r="G33" s="74">
        <v>384.96</v>
      </c>
      <c r="H33" s="75"/>
      <c r="I33" s="75"/>
      <c r="J33" s="74">
        <v>24.06</v>
      </c>
      <c r="K33" s="74">
        <v>24.06</v>
      </c>
      <c r="L33" s="74">
        <v>9.62</v>
      </c>
      <c r="M33" s="74">
        <v>457.14</v>
      </c>
      <c r="N33" s="74">
        <v>96.24</v>
      </c>
      <c r="O33" s="85">
        <f t="shared" si="0"/>
        <v>505.26</v>
      </c>
      <c r="P33" s="85">
        <f t="shared" si="1"/>
        <v>1212.62</v>
      </c>
      <c r="Q33" s="74">
        <f t="shared" si="2"/>
        <v>1717.88</v>
      </c>
    </row>
    <row r="34" s="63" customFormat="1" spans="1:17">
      <c r="A34" s="74">
        <v>30</v>
      </c>
      <c r="B34" s="75" t="s">
        <v>178</v>
      </c>
      <c r="C34" s="74" t="s">
        <v>165</v>
      </c>
      <c r="D34" s="75" t="s">
        <v>406</v>
      </c>
      <c r="E34" s="75" t="s">
        <v>179</v>
      </c>
      <c r="F34" s="74">
        <v>721.8</v>
      </c>
      <c r="G34" s="74">
        <v>384.96</v>
      </c>
      <c r="H34" s="75"/>
      <c r="I34" s="75"/>
      <c r="J34" s="74">
        <v>24.06</v>
      </c>
      <c r="K34" s="74">
        <v>24.06</v>
      </c>
      <c r="L34" s="74">
        <v>9.62</v>
      </c>
      <c r="M34" s="74">
        <v>457.14</v>
      </c>
      <c r="N34" s="74">
        <v>96.24</v>
      </c>
      <c r="O34" s="85">
        <f t="shared" si="0"/>
        <v>505.26</v>
      </c>
      <c r="P34" s="85">
        <f t="shared" si="1"/>
        <v>1212.62</v>
      </c>
      <c r="Q34" s="74">
        <f t="shared" si="2"/>
        <v>1717.88</v>
      </c>
    </row>
    <row r="35" s="63" customFormat="1" spans="1:17">
      <c r="A35" s="74">
        <v>31</v>
      </c>
      <c r="B35" s="75" t="s">
        <v>144</v>
      </c>
      <c r="C35" s="74" t="s">
        <v>143</v>
      </c>
      <c r="D35" s="75" t="s">
        <v>406</v>
      </c>
      <c r="E35" s="272" t="s">
        <v>145</v>
      </c>
      <c r="F35" s="74">
        <v>721.8</v>
      </c>
      <c r="G35" s="74">
        <v>384.96</v>
      </c>
      <c r="H35" s="75"/>
      <c r="I35" s="75"/>
      <c r="J35" s="74">
        <v>24.06</v>
      </c>
      <c r="K35" s="74">
        <v>24.06</v>
      </c>
      <c r="L35" s="74">
        <v>9.62</v>
      </c>
      <c r="M35" s="74">
        <v>457.14</v>
      </c>
      <c r="N35" s="74">
        <v>96.24</v>
      </c>
      <c r="O35" s="85">
        <f t="shared" si="0"/>
        <v>505.26</v>
      </c>
      <c r="P35" s="85">
        <f t="shared" si="1"/>
        <v>1212.62</v>
      </c>
      <c r="Q35" s="74">
        <f t="shared" si="2"/>
        <v>1717.88</v>
      </c>
    </row>
    <row r="36" s="63" customFormat="1" spans="1:17">
      <c r="A36" s="74">
        <v>32</v>
      </c>
      <c r="B36" s="75" t="s">
        <v>153</v>
      </c>
      <c r="C36" s="74" t="s">
        <v>152</v>
      </c>
      <c r="D36" s="75" t="s">
        <v>406</v>
      </c>
      <c r="E36" s="272" t="s">
        <v>154</v>
      </c>
      <c r="F36" s="74">
        <v>721.8</v>
      </c>
      <c r="G36" s="74">
        <v>384.96</v>
      </c>
      <c r="H36" s="75"/>
      <c r="I36" s="75"/>
      <c r="J36" s="74">
        <v>24.06</v>
      </c>
      <c r="K36" s="74">
        <v>24.06</v>
      </c>
      <c r="L36" s="74">
        <v>9.62</v>
      </c>
      <c r="M36" s="74">
        <v>457.14</v>
      </c>
      <c r="N36" s="74">
        <v>96.24</v>
      </c>
      <c r="O36" s="85">
        <f t="shared" si="0"/>
        <v>505.26</v>
      </c>
      <c r="P36" s="85">
        <f t="shared" si="1"/>
        <v>1212.62</v>
      </c>
      <c r="Q36" s="74">
        <f t="shared" si="2"/>
        <v>1717.88</v>
      </c>
    </row>
    <row r="37" s="63" customFormat="1" spans="1:17">
      <c r="A37" s="74">
        <v>33</v>
      </c>
      <c r="B37" s="75" t="s">
        <v>43</v>
      </c>
      <c r="C37" s="74" t="s">
        <v>30</v>
      </c>
      <c r="D37" s="75" t="s">
        <v>406</v>
      </c>
      <c r="E37" s="75" t="s">
        <v>44</v>
      </c>
      <c r="F37" s="74">
        <v>721.8</v>
      </c>
      <c r="G37" s="74">
        <v>384.96</v>
      </c>
      <c r="H37" s="75"/>
      <c r="I37" s="75"/>
      <c r="J37" s="74">
        <v>24.06</v>
      </c>
      <c r="K37" s="74">
        <v>24.06</v>
      </c>
      <c r="L37" s="74">
        <v>9.62</v>
      </c>
      <c r="M37" s="74">
        <v>457.14</v>
      </c>
      <c r="N37" s="74">
        <v>96.24</v>
      </c>
      <c r="O37" s="85">
        <f t="shared" si="0"/>
        <v>505.26</v>
      </c>
      <c r="P37" s="85">
        <f t="shared" si="1"/>
        <v>1212.62</v>
      </c>
      <c r="Q37" s="74">
        <f t="shared" si="2"/>
        <v>1717.88</v>
      </c>
    </row>
    <row r="38" s="63" customFormat="1" spans="1:17">
      <c r="A38" s="74">
        <v>34</v>
      </c>
      <c r="B38" s="75" t="s">
        <v>48</v>
      </c>
      <c r="C38" s="74" t="s">
        <v>47</v>
      </c>
      <c r="D38" s="75" t="s">
        <v>406</v>
      </c>
      <c r="E38" s="75" t="s">
        <v>49</v>
      </c>
      <c r="F38" s="74">
        <v>721.8</v>
      </c>
      <c r="G38" s="74">
        <v>384.96</v>
      </c>
      <c r="H38" s="75"/>
      <c r="I38" s="75"/>
      <c r="J38" s="74">
        <v>24.06</v>
      </c>
      <c r="K38" s="74">
        <v>24.06</v>
      </c>
      <c r="L38" s="74">
        <v>9.62</v>
      </c>
      <c r="M38" s="74">
        <v>457.14</v>
      </c>
      <c r="N38" s="74">
        <v>96.24</v>
      </c>
      <c r="O38" s="85">
        <f t="shared" si="0"/>
        <v>505.26</v>
      </c>
      <c r="P38" s="85">
        <f t="shared" ref="P38:P43" si="3">M38+L38+J38+F38</f>
        <v>1212.62</v>
      </c>
      <c r="Q38" s="74">
        <f t="shared" ref="Q38:Q56" si="4">O38+P38</f>
        <v>1717.88</v>
      </c>
    </row>
    <row r="39" s="63" customFormat="1" spans="1:17">
      <c r="A39" s="74">
        <v>35</v>
      </c>
      <c r="B39" s="75" t="s">
        <v>97</v>
      </c>
      <c r="C39" s="74" t="s">
        <v>67</v>
      </c>
      <c r="D39" s="75" t="s">
        <v>406</v>
      </c>
      <c r="E39" s="75" t="s">
        <v>98</v>
      </c>
      <c r="F39" s="74">
        <v>721.8</v>
      </c>
      <c r="G39" s="74">
        <v>384.96</v>
      </c>
      <c r="H39" s="75"/>
      <c r="I39" s="75"/>
      <c r="J39" s="74">
        <v>24.06</v>
      </c>
      <c r="K39" s="74">
        <v>24.06</v>
      </c>
      <c r="L39" s="74">
        <v>9.62</v>
      </c>
      <c r="M39" s="74">
        <v>457.14</v>
      </c>
      <c r="N39" s="74">
        <v>96.24</v>
      </c>
      <c r="O39" s="85">
        <f t="shared" si="0"/>
        <v>505.26</v>
      </c>
      <c r="P39" s="85">
        <f t="shared" si="3"/>
        <v>1212.62</v>
      </c>
      <c r="Q39" s="74">
        <f t="shared" si="4"/>
        <v>1717.88</v>
      </c>
    </row>
    <row r="40" s="63" customFormat="1" spans="1:17">
      <c r="A40" s="74">
        <v>36</v>
      </c>
      <c r="B40" s="75" t="s">
        <v>180</v>
      </c>
      <c r="C40" s="74" t="s">
        <v>165</v>
      </c>
      <c r="D40" s="75" t="s">
        <v>406</v>
      </c>
      <c r="E40" s="75" t="s">
        <v>181</v>
      </c>
      <c r="F40" s="74">
        <v>721.8</v>
      </c>
      <c r="G40" s="74">
        <v>384.96</v>
      </c>
      <c r="H40" s="75"/>
      <c r="I40" s="75"/>
      <c r="J40" s="74">
        <v>24.06</v>
      </c>
      <c r="K40" s="74">
        <v>24.06</v>
      </c>
      <c r="L40" s="74">
        <v>9.62</v>
      </c>
      <c r="M40" s="74">
        <v>457.14</v>
      </c>
      <c r="N40" s="74">
        <v>96.24</v>
      </c>
      <c r="O40" s="85">
        <f t="shared" si="0"/>
        <v>505.26</v>
      </c>
      <c r="P40" s="85">
        <f t="shared" si="3"/>
        <v>1212.62</v>
      </c>
      <c r="Q40" s="74">
        <f t="shared" si="4"/>
        <v>1717.88</v>
      </c>
    </row>
    <row r="41" s="63" customFormat="1" spans="1:17">
      <c r="A41" s="74">
        <v>37</v>
      </c>
      <c r="B41" s="75" t="s">
        <v>162</v>
      </c>
      <c r="C41" s="74" t="s">
        <v>152</v>
      </c>
      <c r="D41" s="75" t="s">
        <v>406</v>
      </c>
      <c r="E41" s="279" t="s">
        <v>163</v>
      </c>
      <c r="F41" s="74">
        <v>721.8</v>
      </c>
      <c r="G41" s="74">
        <v>384.96</v>
      </c>
      <c r="H41" s="75"/>
      <c r="I41" s="75"/>
      <c r="J41" s="74">
        <v>24.06</v>
      </c>
      <c r="K41" s="74">
        <v>24.06</v>
      </c>
      <c r="L41" s="74">
        <v>9.62</v>
      </c>
      <c r="M41" s="74">
        <v>457.14</v>
      </c>
      <c r="N41" s="74">
        <v>96.24</v>
      </c>
      <c r="O41" s="85">
        <f t="shared" si="0"/>
        <v>505.26</v>
      </c>
      <c r="P41" s="85">
        <f t="shared" si="3"/>
        <v>1212.62</v>
      </c>
      <c r="Q41" s="74">
        <f t="shared" si="4"/>
        <v>1717.88</v>
      </c>
    </row>
    <row r="42" s="63" customFormat="1" spans="1:17">
      <c r="A42" s="74">
        <v>38</v>
      </c>
      <c r="B42" s="78" t="s">
        <v>114</v>
      </c>
      <c r="C42" s="74" t="s">
        <v>67</v>
      </c>
      <c r="D42" s="75" t="s">
        <v>406</v>
      </c>
      <c r="E42" s="279" t="s">
        <v>115</v>
      </c>
      <c r="F42" s="74">
        <v>721.8</v>
      </c>
      <c r="G42" s="74">
        <v>384.96</v>
      </c>
      <c r="H42" s="75"/>
      <c r="I42" s="75"/>
      <c r="J42" s="74">
        <v>24.06</v>
      </c>
      <c r="K42" s="74">
        <v>24.06</v>
      </c>
      <c r="L42" s="74">
        <v>9.62</v>
      </c>
      <c r="M42" s="74">
        <v>457.14</v>
      </c>
      <c r="N42" s="74">
        <v>96.24</v>
      </c>
      <c r="O42" s="85">
        <f t="shared" si="0"/>
        <v>505.26</v>
      </c>
      <c r="P42" s="85">
        <f t="shared" si="3"/>
        <v>1212.62</v>
      </c>
      <c r="Q42" s="74">
        <f t="shared" si="4"/>
        <v>1717.88</v>
      </c>
    </row>
    <row r="43" s="63" customFormat="1" spans="1:17">
      <c r="A43" s="74">
        <v>39</v>
      </c>
      <c r="B43" s="75" t="s">
        <v>81</v>
      </c>
      <c r="C43" s="74" t="s">
        <v>67</v>
      </c>
      <c r="D43" s="75" t="s">
        <v>406</v>
      </c>
      <c r="E43" s="75" t="s">
        <v>83</v>
      </c>
      <c r="F43" s="74">
        <v>721.8</v>
      </c>
      <c r="G43" s="74">
        <v>384.96</v>
      </c>
      <c r="H43" s="75"/>
      <c r="I43" s="75"/>
      <c r="J43" s="74">
        <v>24.06</v>
      </c>
      <c r="K43" s="74">
        <v>24.06</v>
      </c>
      <c r="L43" s="74">
        <v>9.62</v>
      </c>
      <c r="M43" s="74">
        <v>457.14</v>
      </c>
      <c r="N43" s="74">
        <v>96.24</v>
      </c>
      <c r="O43" s="85">
        <f t="shared" si="0"/>
        <v>505.26</v>
      </c>
      <c r="P43" s="85">
        <f t="shared" si="3"/>
        <v>1212.62</v>
      </c>
      <c r="Q43" s="74">
        <f t="shared" si="4"/>
        <v>1717.88</v>
      </c>
    </row>
    <row r="44" s="63" customFormat="1" spans="2:17">
      <c r="B44" s="79"/>
      <c r="C44" s="79"/>
      <c r="D44" s="79"/>
      <c r="E44" s="79"/>
      <c r="F44" s="80">
        <f>SUM(F5:F43)</f>
        <v>28150.2</v>
      </c>
      <c r="G44" s="80">
        <f t="shared" ref="G44:S44" si="5">SUM(G5:G43)</f>
        <v>15013.44</v>
      </c>
      <c r="H44" s="80">
        <f t="shared" si="5"/>
        <v>0</v>
      </c>
      <c r="I44" s="80">
        <f t="shared" si="5"/>
        <v>0</v>
      </c>
      <c r="J44" s="80">
        <f t="shared" si="5"/>
        <v>938.339999999999</v>
      </c>
      <c r="K44" s="80">
        <f t="shared" si="5"/>
        <v>938.339999999999</v>
      </c>
      <c r="L44" s="80">
        <f t="shared" si="5"/>
        <v>375.18</v>
      </c>
      <c r="M44" s="80">
        <f t="shared" si="5"/>
        <v>17828.46</v>
      </c>
      <c r="N44" s="80">
        <f t="shared" si="5"/>
        <v>3753.36</v>
      </c>
      <c r="O44" s="80">
        <f t="shared" si="5"/>
        <v>19705.14</v>
      </c>
      <c r="P44" s="80">
        <f t="shared" si="5"/>
        <v>47292.18</v>
      </c>
      <c r="Q44" s="80">
        <f t="shared" si="5"/>
        <v>66997.32</v>
      </c>
    </row>
    <row r="45" s="63" customFormat="1" spans="1:17">
      <c r="A45" s="74">
        <v>40</v>
      </c>
      <c r="B45" s="75" t="s">
        <v>215</v>
      </c>
      <c r="C45" s="74" t="s">
        <v>188</v>
      </c>
      <c r="D45" s="75" t="s">
        <v>406</v>
      </c>
      <c r="E45" s="75" t="s">
        <v>216</v>
      </c>
      <c r="F45" s="74">
        <v>721.8</v>
      </c>
      <c r="G45" s="74">
        <v>384.96</v>
      </c>
      <c r="H45" s="75"/>
      <c r="I45" s="75"/>
      <c r="J45" s="74">
        <v>24.06</v>
      </c>
      <c r="K45" s="74">
        <v>24.06</v>
      </c>
      <c r="L45" s="74">
        <v>9.62</v>
      </c>
      <c r="M45" s="74">
        <v>457.14</v>
      </c>
      <c r="N45" s="74">
        <v>96.24</v>
      </c>
      <c r="O45" s="85">
        <f t="shared" ref="O45:O53" si="6">N45+K45+G45</f>
        <v>505.26</v>
      </c>
      <c r="P45" s="85">
        <f t="shared" ref="P45:P53" si="7">M45+L45+J45+F45</f>
        <v>1212.62</v>
      </c>
      <c r="Q45" s="74">
        <f t="shared" si="4"/>
        <v>1717.88</v>
      </c>
    </row>
    <row r="46" s="63" customFormat="1" spans="1:17">
      <c r="A46" s="74">
        <v>41</v>
      </c>
      <c r="B46" s="75" t="s">
        <v>212</v>
      </c>
      <c r="C46" s="74" t="s">
        <v>188</v>
      </c>
      <c r="D46" s="75" t="s">
        <v>406</v>
      </c>
      <c r="E46" s="75" t="s">
        <v>213</v>
      </c>
      <c r="F46" s="74">
        <v>721.8</v>
      </c>
      <c r="G46" s="74">
        <v>384.96</v>
      </c>
      <c r="H46" s="75"/>
      <c r="I46" s="75"/>
      <c r="J46" s="74">
        <v>24.06</v>
      </c>
      <c r="K46" s="74">
        <v>24.06</v>
      </c>
      <c r="L46" s="74">
        <v>9.62</v>
      </c>
      <c r="M46" s="74">
        <v>457.14</v>
      </c>
      <c r="N46" s="74">
        <v>96.24</v>
      </c>
      <c r="O46" s="85">
        <f t="shared" si="6"/>
        <v>505.26</v>
      </c>
      <c r="P46" s="85">
        <f t="shared" si="7"/>
        <v>1212.62</v>
      </c>
      <c r="Q46" s="74">
        <f t="shared" si="4"/>
        <v>1717.88</v>
      </c>
    </row>
    <row r="47" s="63" customFormat="1" spans="1:17">
      <c r="A47" s="74">
        <v>42</v>
      </c>
      <c r="B47" s="75" t="s">
        <v>202</v>
      </c>
      <c r="C47" s="74" t="s">
        <v>478</v>
      </c>
      <c r="D47" s="75" t="s">
        <v>406</v>
      </c>
      <c r="E47" s="279" t="s">
        <v>203</v>
      </c>
      <c r="F47" s="74">
        <v>721.8</v>
      </c>
      <c r="G47" s="74">
        <v>384.96</v>
      </c>
      <c r="H47" s="75"/>
      <c r="I47" s="75"/>
      <c r="J47" s="74">
        <v>24.06</v>
      </c>
      <c r="K47" s="74">
        <v>24.06</v>
      </c>
      <c r="L47" s="74">
        <v>9.62</v>
      </c>
      <c r="M47" s="74">
        <v>457.14</v>
      </c>
      <c r="N47" s="74">
        <v>96.24</v>
      </c>
      <c r="O47" s="85">
        <f t="shared" si="6"/>
        <v>505.26</v>
      </c>
      <c r="P47" s="85">
        <f t="shared" si="7"/>
        <v>1212.62</v>
      </c>
      <c r="Q47" s="74">
        <f t="shared" si="4"/>
        <v>1717.88</v>
      </c>
    </row>
    <row r="48" s="63" customFormat="1" spans="1:17">
      <c r="A48" s="74">
        <v>43</v>
      </c>
      <c r="B48" s="75" t="s">
        <v>205</v>
      </c>
      <c r="C48" s="74" t="s">
        <v>478</v>
      </c>
      <c r="D48" s="75" t="s">
        <v>406</v>
      </c>
      <c r="E48" s="279" t="s">
        <v>206</v>
      </c>
      <c r="F48" s="74">
        <v>721.8</v>
      </c>
      <c r="G48" s="74">
        <v>384.96</v>
      </c>
      <c r="H48" s="75"/>
      <c r="I48" s="75"/>
      <c r="J48" s="74">
        <v>24.06</v>
      </c>
      <c r="K48" s="74">
        <v>24.06</v>
      </c>
      <c r="L48" s="74">
        <v>9.62</v>
      </c>
      <c r="M48" s="74">
        <v>457.14</v>
      </c>
      <c r="N48" s="74">
        <v>96.24</v>
      </c>
      <c r="O48" s="85">
        <f t="shared" si="6"/>
        <v>505.26</v>
      </c>
      <c r="P48" s="85">
        <f t="shared" si="7"/>
        <v>1212.62</v>
      </c>
      <c r="Q48" s="74">
        <f t="shared" si="4"/>
        <v>1717.88</v>
      </c>
    </row>
    <row r="49" s="63" customFormat="1" spans="1:17">
      <c r="A49" s="74">
        <v>44</v>
      </c>
      <c r="B49" s="75" t="s">
        <v>189</v>
      </c>
      <c r="C49" s="74" t="s">
        <v>188</v>
      </c>
      <c r="D49" s="75" t="s">
        <v>406</v>
      </c>
      <c r="E49" s="75" t="s">
        <v>190</v>
      </c>
      <c r="F49" s="74">
        <v>721.8</v>
      </c>
      <c r="G49" s="74">
        <v>384.96</v>
      </c>
      <c r="H49" s="75"/>
      <c r="I49" s="75"/>
      <c r="J49" s="74">
        <v>24.06</v>
      </c>
      <c r="K49" s="74">
        <v>24.06</v>
      </c>
      <c r="L49" s="74">
        <v>9.62</v>
      </c>
      <c r="M49" s="74">
        <v>457.14</v>
      </c>
      <c r="N49" s="74">
        <v>96.24</v>
      </c>
      <c r="O49" s="85">
        <f t="shared" si="6"/>
        <v>505.26</v>
      </c>
      <c r="P49" s="85">
        <f t="shared" si="7"/>
        <v>1212.62</v>
      </c>
      <c r="Q49" s="74">
        <f t="shared" si="4"/>
        <v>1717.88</v>
      </c>
    </row>
    <row r="50" s="63" customFormat="1" spans="1:17">
      <c r="A50" s="74">
        <v>45</v>
      </c>
      <c r="B50" s="75" t="s">
        <v>219</v>
      </c>
      <c r="C50" s="74" t="s">
        <v>188</v>
      </c>
      <c r="D50" s="75" t="s">
        <v>406</v>
      </c>
      <c r="E50" s="75" t="s">
        <v>220</v>
      </c>
      <c r="F50" s="74">
        <v>721.8</v>
      </c>
      <c r="G50" s="74">
        <v>384.96</v>
      </c>
      <c r="H50" s="75"/>
      <c r="I50" s="75"/>
      <c r="J50" s="74">
        <v>24.06</v>
      </c>
      <c r="K50" s="74">
        <v>24.06</v>
      </c>
      <c r="L50" s="74">
        <v>9.62</v>
      </c>
      <c r="M50" s="74">
        <v>457.14</v>
      </c>
      <c r="N50" s="74">
        <v>96.24</v>
      </c>
      <c r="O50" s="85">
        <f t="shared" si="6"/>
        <v>505.26</v>
      </c>
      <c r="P50" s="85">
        <f t="shared" si="7"/>
        <v>1212.62</v>
      </c>
      <c r="Q50" s="74">
        <f t="shared" si="4"/>
        <v>1717.88</v>
      </c>
    </row>
    <row r="51" s="63" customFormat="1" spans="1:17">
      <c r="A51" s="74">
        <v>46</v>
      </c>
      <c r="B51" s="75" t="s">
        <v>196</v>
      </c>
      <c r="C51" s="74" t="s">
        <v>188</v>
      </c>
      <c r="D51" s="75" t="s">
        <v>406</v>
      </c>
      <c r="E51" s="75" t="s">
        <v>197</v>
      </c>
      <c r="F51" s="74">
        <v>721.8</v>
      </c>
      <c r="G51" s="74">
        <v>384.96</v>
      </c>
      <c r="H51" s="75"/>
      <c r="I51" s="75"/>
      <c r="J51" s="74">
        <v>24.06</v>
      </c>
      <c r="K51" s="74">
        <v>24.06</v>
      </c>
      <c r="L51" s="74">
        <v>9.62</v>
      </c>
      <c r="M51" s="74">
        <v>457.14</v>
      </c>
      <c r="N51" s="74">
        <v>96.24</v>
      </c>
      <c r="O51" s="85">
        <f t="shared" si="6"/>
        <v>505.26</v>
      </c>
      <c r="P51" s="85">
        <f t="shared" si="7"/>
        <v>1212.62</v>
      </c>
      <c r="Q51" s="74">
        <f t="shared" si="4"/>
        <v>1717.88</v>
      </c>
    </row>
    <row r="52" s="63" customFormat="1" spans="1:17">
      <c r="A52" s="74">
        <v>47</v>
      </c>
      <c r="B52" s="75" t="s">
        <v>192</v>
      </c>
      <c r="C52" s="74" t="s">
        <v>188</v>
      </c>
      <c r="D52" s="75" t="s">
        <v>406</v>
      </c>
      <c r="E52" s="75" t="s">
        <v>193</v>
      </c>
      <c r="F52" s="74">
        <v>721.8</v>
      </c>
      <c r="G52" s="74">
        <v>384.96</v>
      </c>
      <c r="H52" s="75"/>
      <c r="I52" s="75"/>
      <c r="J52" s="74">
        <v>24.06</v>
      </c>
      <c r="K52" s="74">
        <v>24.06</v>
      </c>
      <c r="L52" s="74">
        <v>9.62</v>
      </c>
      <c r="M52" s="74">
        <v>457.14</v>
      </c>
      <c r="N52" s="74">
        <v>96.24</v>
      </c>
      <c r="O52" s="85">
        <f t="shared" si="6"/>
        <v>505.26</v>
      </c>
      <c r="P52" s="85">
        <f t="shared" si="7"/>
        <v>1212.62</v>
      </c>
      <c r="Q52" s="74">
        <f t="shared" si="4"/>
        <v>1717.88</v>
      </c>
    </row>
    <row r="53" s="63" customFormat="1" spans="1:17">
      <c r="A53" s="74">
        <v>48</v>
      </c>
      <c r="B53" s="75" t="s">
        <v>209</v>
      </c>
      <c r="C53" s="74" t="s">
        <v>188</v>
      </c>
      <c r="D53" s="75" t="s">
        <v>406</v>
      </c>
      <c r="E53" s="75" t="s">
        <v>210</v>
      </c>
      <c r="F53" s="74">
        <v>721.8</v>
      </c>
      <c r="G53" s="74">
        <v>384.96</v>
      </c>
      <c r="H53" s="75"/>
      <c r="I53" s="75"/>
      <c r="J53" s="74">
        <v>24.06</v>
      </c>
      <c r="K53" s="74">
        <v>24.06</v>
      </c>
      <c r="L53" s="74">
        <v>9.62</v>
      </c>
      <c r="M53" s="74">
        <v>457.14</v>
      </c>
      <c r="N53" s="74">
        <v>96.24</v>
      </c>
      <c r="O53" s="85">
        <f t="shared" si="6"/>
        <v>505.26</v>
      </c>
      <c r="P53" s="85">
        <f t="shared" si="7"/>
        <v>1212.62</v>
      </c>
      <c r="Q53" s="74">
        <f t="shared" si="4"/>
        <v>1717.88</v>
      </c>
    </row>
    <row r="54" s="63" customFormat="1" spans="1:17">
      <c r="A54" s="74"/>
      <c r="B54" s="79"/>
      <c r="C54" s="79"/>
      <c r="D54" s="79"/>
      <c r="E54" s="79"/>
      <c r="F54" s="80">
        <f>SUM(F45:F53)</f>
        <v>6496.2</v>
      </c>
      <c r="G54" s="80">
        <f t="shared" ref="G54:S54" si="8">SUM(G45:G53)</f>
        <v>3464.64</v>
      </c>
      <c r="H54" s="80">
        <f t="shared" si="8"/>
        <v>0</v>
      </c>
      <c r="I54" s="80">
        <f t="shared" si="8"/>
        <v>0</v>
      </c>
      <c r="J54" s="80">
        <f t="shared" si="8"/>
        <v>216.54</v>
      </c>
      <c r="K54" s="80">
        <f t="shared" si="8"/>
        <v>216.54</v>
      </c>
      <c r="L54" s="80">
        <f t="shared" si="8"/>
        <v>86.58</v>
      </c>
      <c r="M54" s="80">
        <f t="shared" si="8"/>
        <v>4114.26</v>
      </c>
      <c r="N54" s="80">
        <f t="shared" si="8"/>
        <v>866.16</v>
      </c>
      <c r="O54" s="80">
        <f t="shared" si="8"/>
        <v>4547.34</v>
      </c>
      <c r="P54" s="80">
        <f t="shared" si="8"/>
        <v>10913.58</v>
      </c>
      <c r="Q54" s="80">
        <f t="shared" si="8"/>
        <v>15460.92</v>
      </c>
    </row>
    <row r="55" spans="1:17">
      <c r="A55" s="74"/>
      <c r="B55" s="81"/>
      <c r="C55" s="81"/>
      <c r="D55" s="81"/>
      <c r="E55" s="81"/>
      <c r="F55" s="82">
        <f t="shared" ref="F55:S55" si="9">F44+F54</f>
        <v>34646.4</v>
      </c>
      <c r="G55" s="82">
        <f t="shared" si="9"/>
        <v>18478.08</v>
      </c>
      <c r="H55" s="82">
        <f t="shared" si="9"/>
        <v>0</v>
      </c>
      <c r="I55" s="82">
        <f t="shared" si="9"/>
        <v>0</v>
      </c>
      <c r="J55" s="82">
        <f t="shared" si="9"/>
        <v>1154.88</v>
      </c>
      <c r="K55" s="82">
        <f t="shared" si="9"/>
        <v>1154.88</v>
      </c>
      <c r="L55" s="82">
        <f t="shared" si="9"/>
        <v>461.76</v>
      </c>
      <c r="M55" s="82">
        <f t="shared" si="9"/>
        <v>21942.72</v>
      </c>
      <c r="N55" s="82">
        <f t="shared" si="9"/>
        <v>4619.52</v>
      </c>
      <c r="O55" s="82">
        <f t="shared" si="9"/>
        <v>24252.48</v>
      </c>
      <c r="P55" s="82">
        <f t="shared" si="9"/>
        <v>58205.76</v>
      </c>
      <c r="Q55" s="82">
        <f t="shared" si="9"/>
        <v>82458.24</v>
      </c>
    </row>
  </sheetData>
  <autoFilter xmlns:etc="http://www.wps.cn/officeDocument/2017/etCustomData" ref="A1:U55" etc:filterBottomFollowUsedRange="0">
    <extLst/>
  </autoFilter>
  <mergeCells count="14">
    <mergeCell ref="A1:O1"/>
    <mergeCell ref="F2:I2"/>
    <mergeCell ref="F3:G3"/>
    <mergeCell ref="H3:I3"/>
    <mergeCell ref="J3:K3"/>
    <mergeCell ref="M3:N3"/>
    <mergeCell ref="A3:A4"/>
    <mergeCell ref="B3:B4"/>
    <mergeCell ref="C3:C4"/>
    <mergeCell ref="D3:D4"/>
    <mergeCell ref="E3:E4"/>
    <mergeCell ref="O3:O4"/>
    <mergeCell ref="P3:P4"/>
    <mergeCell ref="Q3:Q4"/>
  </mergeCells>
  <pageMargins left="0.7" right="0.7" top="0.75" bottom="0.75" header="0.3" footer="0.3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F52"/>
  <sheetViews>
    <sheetView zoomScale="85" zoomScaleNormal="85" workbookViewId="0">
      <pane xSplit="7" ySplit="3" topLeftCell="H20" activePane="bottomRight" state="frozen"/>
      <selection/>
      <selection pane="topRight"/>
      <selection pane="bottomLeft"/>
      <selection pane="bottomRight" activeCell="A28" sqref="$A28:$XFD28"/>
    </sheetView>
  </sheetViews>
  <sheetFormatPr defaultColWidth="9" defaultRowHeight="13.5" customHeight="1"/>
  <cols>
    <col min="1" max="1" width="6" style="2" customWidth="1"/>
    <col min="2" max="2" width="12.5" style="2" customWidth="1"/>
    <col min="3" max="3" width="9.83333333333333" style="2" customWidth="1"/>
    <col min="4" max="4" width="14.875" style="2" customWidth="1"/>
    <col min="5" max="5" width="11" style="2" customWidth="1"/>
    <col min="6" max="6" width="12.8333333333333" style="2" customWidth="1"/>
    <col min="7" max="7" width="7" style="2" customWidth="1"/>
    <col min="8" max="8" width="9" style="2" customWidth="1" outlineLevel="1"/>
    <col min="9" max="9" width="7.83333333333333" style="2" customWidth="1" outlineLevel="1"/>
    <col min="10" max="10" width="8.5" style="2" customWidth="1" outlineLevel="1"/>
    <col min="11" max="11" width="8.16666666666667" style="2" customWidth="1" outlineLevel="1"/>
    <col min="12" max="12" width="10" style="2" customWidth="1" outlineLevel="1"/>
    <col min="13" max="13" width="8.83333333333333" style="2" customWidth="1" outlineLevel="1"/>
    <col min="14" max="14" width="9.5" style="2" customWidth="1" outlineLevel="1"/>
    <col min="15" max="15" width="7.33333333333333" style="2" customWidth="1" outlineLevel="1"/>
    <col min="16" max="16" width="7.5" style="2" customWidth="1" outlineLevel="1"/>
    <col min="17" max="17" width="7.83333333333333" style="2" customWidth="1" outlineLevel="1"/>
    <col min="18" max="18" width="8.83333333333333" style="28" customWidth="1" outlineLevel="1"/>
    <col min="19" max="19" width="12.8333333333333" style="2" customWidth="1" outlineLevel="1"/>
    <col min="20" max="20" width="8.5" style="2" customWidth="1" outlineLevel="1"/>
    <col min="21" max="21" width="9.5" style="2" customWidth="1" outlineLevel="1"/>
    <col min="22" max="23" width="6.5" style="2" customWidth="1" outlineLevel="1"/>
    <col min="24" max="24" width="10.4666666666667" style="2" customWidth="1" outlineLevel="1"/>
    <col min="25" max="25" width="11.6666666666667" style="2" customWidth="1" outlineLevel="1"/>
    <col min="26" max="27" width="11.6666666666667" style="2" customWidth="1"/>
    <col min="28" max="28" width="8.33333333333333" style="2" customWidth="1"/>
    <col min="29" max="29" width="12" style="2" customWidth="1"/>
    <col min="30" max="30" width="9.33333333333333" style="2" customWidth="1"/>
    <col min="31" max="31" width="11.8333333333333" style="2" customWidth="1"/>
    <col min="32" max="32" width="24.05" style="29" customWidth="1"/>
    <col min="33" max="33" width="15.875" customWidth="1"/>
  </cols>
  <sheetData>
    <row r="1" ht="21" customHeight="1" spans="1:31">
      <c r="A1" s="3" t="s">
        <v>479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22" t="s">
        <v>480</v>
      </c>
    </row>
    <row r="2" ht="21" customHeight="1" spans="1:31">
      <c r="A2" s="5" t="s">
        <v>2</v>
      </c>
      <c r="B2" s="5" t="s">
        <v>481</v>
      </c>
      <c r="C2" s="5" t="s">
        <v>4</v>
      </c>
      <c r="D2" s="5" t="s">
        <v>3</v>
      </c>
      <c r="E2" s="5" t="s">
        <v>482</v>
      </c>
      <c r="F2" s="6" t="s">
        <v>483</v>
      </c>
      <c r="G2" s="6" t="s">
        <v>484</v>
      </c>
      <c r="H2" s="5" t="s">
        <v>485</v>
      </c>
      <c r="I2" s="5"/>
      <c r="J2" s="5"/>
      <c r="K2" s="5"/>
      <c r="L2" s="5" t="s">
        <v>486</v>
      </c>
      <c r="M2" s="5" t="s">
        <v>487</v>
      </c>
      <c r="N2" s="5"/>
      <c r="O2" s="5"/>
      <c r="P2" s="5"/>
      <c r="Q2" s="5" t="s">
        <v>486</v>
      </c>
      <c r="R2" s="44" t="s">
        <v>488</v>
      </c>
      <c r="S2" s="5"/>
      <c r="T2" s="5" t="s">
        <v>489</v>
      </c>
      <c r="U2" s="5"/>
      <c r="V2" s="5" t="s">
        <v>490</v>
      </c>
      <c r="W2" s="5"/>
      <c r="X2" s="45" t="s">
        <v>491</v>
      </c>
      <c r="Y2" s="49"/>
      <c r="Z2" s="5" t="s">
        <v>492</v>
      </c>
      <c r="AA2" s="5" t="s">
        <v>493</v>
      </c>
      <c r="AB2" s="5" t="s">
        <v>494</v>
      </c>
      <c r="AC2" s="5"/>
      <c r="AD2" s="5" t="s">
        <v>495</v>
      </c>
      <c r="AE2" s="22"/>
    </row>
    <row r="3" ht="44" customHeight="1" spans="1:31">
      <c r="A3" s="5"/>
      <c r="B3" s="5"/>
      <c r="C3" s="5"/>
      <c r="D3" s="5"/>
      <c r="E3" s="5"/>
      <c r="F3" s="6"/>
      <c r="G3" s="6"/>
      <c r="H3" s="6" t="s">
        <v>496</v>
      </c>
      <c r="I3" s="6" t="s">
        <v>497</v>
      </c>
      <c r="J3" s="6" t="s">
        <v>498</v>
      </c>
      <c r="K3" s="6" t="s">
        <v>499</v>
      </c>
      <c r="L3" s="5"/>
      <c r="M3" s="17" t="s">
        <v>500</v>
      </c>
      <c r="N3" s="5" t="s">
        <v>486</v>
      </c>
      <c r="O3" s="17" t="s">
        <v>501</v>
      </c>
      <c r="P3" s="5" t="s">
        <v>486</v>
      </c>
      <c r="Q3" s="5"/>
      <c r="R3" s="44" t="s">
        <v>502</v>
      </c>
      <c r="S3" s="5" t="s">
        <v>486</v>
      </c>
      <c r="T3" s="5" t="s">
        <v>502</v>
      </c>
      <c r="U3" s="5" t="s">
        <v>486</v>
      </c>
      <c r="V3" s="5" t="s">
        <v>502</v>
      </c>
      <c r="W3" s="5" t="s">
        <v>486</v>
      </c>
      <c r="X3" s="5" t="s">
        <v>502</v>
      </c>
      <c r="Y3" s="5" t="s">
        <v>486</v>
      </c>
      <c r="Z3" s="5"/>
      <c r="AA3" s="5"/>
      <c r="AB3" s="5" t="s">
        <v>502</v>
      </c>
      <c r="AC3" s="5" t="s">
        <v>18</v>
      </c>
      <c r="AD3" s="5"/>
      <c r="AE3" s="22"/>
    </row>
    <row r="4" s="2" customFormat="1" ht="24.75" customHeight="1" spans="1:32">
      <c r="A4" s="7">
        <v>1</v>
      </c>
      <c r="B4" s="30">
        <f>VLOOKUP(C4,[1]基本信息!$B$2:$H$40,7,0)</f>
        <v>44770</v>
      </c>
      <c r="C4" s="31" t="s">
        <v>64</v>
      </c>
      <c r="D4" s="9" t="s">
        <v>52</v>
      </c>
      <c r="E4" s="9">
        <v>6900</v>
      </c>
      <c r="F4" s="32">
        <v>21</v>
      </c>
      <c r="G4" s="32">
        <f t="shared" ref="G4:G15" si="0">F4-R4-T4-V4-X4</f>
        <v>21</v>
      </c>
      <c r="H4" s="9"/>
      <c r="I4" s="9"/>
      <c r="J4" s="9"/>
      <c r="K4" s="9"/>
      <c r="L4" s="9"/>
      <c r="M4" s="9"/>
      <c r="N4" s="9"/>
      <c r="O4" s="9"/>
      <c r="P4" s="9"/>
      <c r="Q4" s="9"/>
      <c r="R4" s="46"/>
      <c r="S4" s="9">
        <f t="shared" ref="S4:S16" si="1">(E4/F4)*R4</f>
        <v>0</v>
      </c>
      <c r="T4" s="9"/>
      <c r="U4" s="9">
        <f t="shared" ref="U4:U13" si="2">E4/F4/2*T4</f>
        <v>0</v>
      </c>
      <c r="V4" s="9"/>
      <c r="W4" s="9"/>
      <c r="X4" s="9"/>
      <c r="Y4" s="48">
        <f t="shared" ref="Y4:Y13" si="3">E4/F4*X4</f>
        <v>0</v>
      </c>
      <c r="Z4" s="9">
        <f t="shared" ref="Z4:Z15" si="4">S4+U4++Q4+W4+Y4+L4</f>
        <v>0</v>
      </c>
      <c r="AA4" s="9"/>
      <c r="AB4" s="9"/>
      <c r="AC4" s="9">
        <f t="shared" ref="AC4:AC13" si="5">ROUND((E4/F4*AB4),2)</f>
        <v>0</v>
      </c>
      <c r="AD4" s="9"/>
      <c r="AE4" s="19"/>
      <c r="AF4" s="29"/>
    </row>
    <row r="5" s="2" customFormat="1" ht="24.75" customHeight="1" spans="1:32">
      <c r="A5" s="7">
        <v>2</v>
      </c>
      <c r="B5" s="30">
        <v>44858</v>
      </c>
      <c r="C5" s="31" t="s">
        <v>53</v>
      </c>
      <c r="D5" s="9" t="s">
        <v>52</v>
      </c>
      <c r="E5" s="9">
        <v>8100</v>
      </c>
      <c r="F5" s="32">
        <v>21</v>
      </c>
      <c r="G5" s="32">
        <f t="shared" si="0"/>
        <v>21</v>
      </c>
      <c r="H5" s="9"/>
      <c r="I5" s="9"/>
      <c r="J5" s="9"/>
      <c r="K5" s="9"/>
      <c r="L5" s="9"/>
      <c r="M5" s="9"/>
      <c r="N5" s="9"/>
      <c r="O5" s="9"/>
      <c r="P5" s="9"/>
      <c r="Q5" s="9"/>
      <c r="R5" s="46"/>
      <c r="S5" s="9">
        <f t="shared" si="1"/>
        <v>0</v>
      </c>
      <c r="T5" s="9"/>
      <c r="U5" s="9">
        <f t="shared" si="2"/>
        <v>0</v>
      </c>
      <c r="V5" s="9"/>
      <c r="W5" s="9"/>
      <c r="X5" s="9"/>
      <c r="Y5" s="48">
        <f t="shared" si="3"/>
        <v>0</v>
      </c>
      <c r="Z5" s="9">
        <f t="shared" si="4"/>
        <v>0</v>
      </c>
      <c r="AA5" s="9"/>
      <c r="AB5" s="9"/>
      <c r="AC5" s="9">
        <f t="shared" si="5"/>
        <v>0</v>
      </c>
      <c r="AD5" s="9"/>
      <c r="AE5" s="19"/>
      <c r="AF5" s="29"/>
    </row>
    <row r="6" s="1" customFormat="1" ht="24.75" customHeight="1" spans="1:32">
      <c r="A6" s="7">
        <v>3</v>
      </c>
      <c r="B6" s="30">
        <f>VLOOKUP(C6,[1]基本信息!$B$2:$H$40,7,0)</f>
        <v>43993</v>
      </c>
      <c r="C6" s="31" t="s">
        <v>209</v>
      </c>
      <c r="D6" s="9" t="s">
        <v>67</v>
      </c>
      <c r="E6" s="9">
        <v>6525</v>
      </c>
      <c r="F6" s="32">
        <v>21</v>
      </c>
      <c r="G6" s="32">
        <f t="shared" si="0"/>
        <v>21</v>
      </c>
      <c r="H6" s="9"/>
      <c r="I6" s="9"/>
      <c r="J6" s="9"/>
      <c r="K6" s="9"/>
      <c r="L6" s="9"/>
      <c r="M6" s="9"/>
      <c r="N6" s="9"/>
      <c r="O6" s="9"/>
      <c r="P6" s="9"/>
      <c r="Q6" s="9"/>
      <c r="R6" s="46"/>
      <c r="S6" s="9">
        <f t="shared" si="1"/>
        <v>0</v>
      </c>
      <c r="T6" s="9"/>
      <c r="U6" s="9">
        <f t="shared" si="2"/>
        <v>0</v>
      </c>
      <c r="V6" s="9"/>
      <c r="W6" s="9"/>
      <c r="X6" s="9"/>
      <c r="Y6" s="48">
        <f t="shared" si="3"/>
        <v>0</v>
      </c>
      <c r="Z6" s="9">
        <f t="shared" si="4"/>
        <v>0</v>
      </c>
      <c r="AA6" s="9"/>
      <c r="AB6" s="9"/>
      <c r="AC6" s="9">
        <f t="shared" si="5"/>
        <v>0</v>
      </c>
      <c r="AD6" s="9"/>
      <c r="AE6" s="19"/>
      <c r="AF6" s="29"/>
    </row>
    <row r="7" s="2" customFormat="1" ht="24.75" customHeight="1" spans="1:32">
      <c r="A7" s="7">
        <v>4</v>
      </c>
      <c r="B7" s="30">
        <v>44804</v>
      </c>
      <c r="C7" s="31" t="s">
        <v>196</v>
      </c>
      <c r="D7" s="9" t="s">
        <v>143</v>
      </c>
      <c r="E7" s="9">
        <v>4500</v>
      </c>
      <c r="F7" s="32">
        <v>21</v>
      </c>
      <c r="G7" s="32">
        <f t="shared" si="0"/>
        <v>21</v>
      </c>
      <c r="H7" s="9"/>
      <c r="I7" s="9"/>
      <c r="J7" s="9"/>
      <c r="K7" s="9"/>
      <c r="L7" s="9"/>
      <c r="M7" s="9"/>
      <c r="N7" s="9"/>
      <c r="O7" s="9"/>
      <c r="P7" s="9"/>
      <c r="Q7" s="9"/>
      <c r="R7" s="46"/>
      <c r="S7" s="9">
        <f t="shared" si="1"/>
        <v>0</v>
      </c>
      <c r="T7" s="9"/>
      <c r="U7" s="9">
        <f t="shared" si="2"/>
        <v>0</v>
      </c>
      <c r="V7" s="9"/>
      <c r="W7" s="9"/>
      <c r="X7" s="9"/>
      <c r="Y7" s="48">
        <f t="shared" si="3"/>
        <v>0</v>
      </c>
      <c r="Z7" s="9">
        <f t="shared" si="4"/>
        <v>0</v>
      </c>
      <c r="AA7" s="9"/>
      <c r="AB7" s="9"/>
      <c r="AC7" s="9">
        <f t="shared" si="5"/>
        <v>0</v>
      </c>
      <c r="AD7" s="9"/>
      <c r="AE7" s="19"/>
      <c r="AF7" s="29"/>
    </row>
    <row r="8" s="2" customFormat="1" ht="24.75" customHeight="1" spans="1:32">
      <c r="A8" s="7">
        <v>5</v>
      </c>
      <c r="B8" s="33"/>
      <c r="C8" s="31" t="s">
        <v>166</v>
      </c>
      <c r="D8" s="9" t="s">
        <v>165</v>
      </c>
      <c r="E8" s="9">
        <v>5000</v>
      </c>
      <c r="F8" s="32">
        <v>21</v>
      </c>
      <c r="G8" s="32">
        <f t="shared" si="0"/>
        <v>21</v>
      </c>
      <c r="H8" s="9"/>
      <c r="I8" s="9"/>
      <c r="J8" s="9"/>
      <c r="K8" s="9"/>
      <c r="L8" s="9"/>
      <c r="M8" s="9"/>
      <c r="N8" s="9"/>
      <c r="O8" s="9"/>
      <c r="P8" s="9"/>
      <c r="Q8" s="9"/>
      <c r="R8" s="46"/>
      <c r="S8" s="9">
        <f t="shared" si="1"/>
        <v>0</v>
      </c>
      <c r="T8" s="9"/>
      <c r="U8" s="9">
        <f t="shared" si="2"/>
        <v>0</v>
      </c>
      <c r="V8" s="9"/>
      <c r="W8" s="9"/>
      <c r="X8" s="9"/>
      <c r="Y8" s="48">
        <f t="shared" si="3"/>
        <v>0</v>
      </c>
      <c r="Z8" s="9">
        <f t="shared" si="4"/>
        <v>0</v>
      </c>
      <c r="AA8" s="9"/>
      <c r="AB8" s="9"/>
      <c r="AC8" s="9">
        <f t="shared" si="5"/>
        <v>0</v>
      </c>
      <c r="AD8" s="9"/>
      <c r="AE8" s="19"/>
      <c r="AF8" s="29"/>
    </row>
    <row r="9" s="2" customFormat="1" ht="24.75" customHeight="1" spans="1:32">
      <c r="A9" s="7">
        <v>6</v>
      </c>
      <c r="B9" s="30">
        <f>VLOOKUP(C9,[1]基本信息!$B$2:$H$40,7,0)</f>
        <v>42226</v>
      </c>
      <c r="C9" s="31" t="s">
        <v>189</v>
      </c>
      <c r="D9" s="9" t="s">
        <v>478</v>
      </c>
      <c r="E9" s="9">
        <v>8600</v>
      </c>
      <c r="F9" s="32">
        <v>21</v>
      </c>
      <c r="G9" s="32">
        <f t="shared" si="0"/>
        <v>20.5</v>
      </c>
      <c r="H9" s="9"/>
      <c r="I9" s="9"/>
      <c r="J9" s="9"/>
      <c r="K9" s="9"/>
      <c r="L9" s="9"/>
      <c r="M9" s="9"/>
      <c r="N9" s="9"/>
      <c r="O9" s="9"/>
      <c r="P9" s="9"/>
      <c r="Q9" s="9"/>
      <c r="R9" s="46">
        <v>0.5</v>
      </c>
      <c r="S9" s="9">
        <f t="shared" si="1"/>
        <v>204.761904761905</v>
      </c>
      <c r="T9" s="9"/>
      <c r="U9" s="9">
        <f t="shared" si="2"/>
        <v>0</v>
      </c>
      <c r="V9" s="9"/>
      <c r="W9" s="9"/>
      <c r="X9" s="9"/>
      <c r="Y9" s="48">
        <f t="shared" si="3"/>
        <v>0</v>
      </c>
      <c r="Z9" s="9">
        <f t="shared" si="4"/>
        <v>204.761904761905</v>
      </c>
      <c r="AA9" s="9"/>
      <c r="AB9" s="9"/>
      <c r="AC9" s="9">
        <f t="shared" si="5"/>
        <v>0</v>
      </c>
      <c r="AD9" s="9"/>
      <c r="AE9" s="19"/>
      <c r="AF9" s="29"/>
    </row>
    <row r="10" s="2" customFormat="1" ht="24.75" customHeight="1" spans="1:32">
      <c r="A10" s="7">
        <v>8</v>
      </c>
      <c r="B10" s="34">
        <v>43679</v>
      </c>
      <c r="C10" s="31" t="s">
        <v>68</v>
      </c>
      <c r="D10" s="9" t="s">
        <v>67</v>
      </c>
      <c r="E10" s="9">
        <v>4500</v>
      </c>
      <c r="F10" s="7">
        <v>26</v>
      </c>
      <c r="G10" s="32">
        <f t="shared" si="0"/>
        <v>26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46"/>
      <c r="S10" s="9">
        <f t="shared" si="1"/>
        <v>0</v>
      </c>
      <c r="T10" s="9"/>
      <c r="U10" s="9">
        <f t="shared" si="2"/>
        <v>0</v>
      </c>
      <c r="V10" s="9"/>
      <c r="W10" s="9"/>
      <c r="X10" s="9"/>
      <c r="Y10" s="48">
        <f t="shared" si="3"/>
        <v>0</v>
      </c>
      <c r="Z10" s="9">
        <f t="shared" si="4"/>
        <v>0</v>
      </c>
      <c r="AA10" s="9"/>
      <c r="AB10" s="9"/>
      <c r="AC10" s="9">
        <f t="shared" si="5"/>
        <v>0</v>
      </c>
      <c r="AD10" s="9"/>
      <c r="AE10" s="19"/>
      <c r="AF10" s="29"/>
    </row>
    <row r="11" s="2" customFormat="1" ht="24.75" customHeight="1" spans="1:32">
      <c r="A11" s="7">
        <v>9</v>
      </c>
      <c r="B11" s="30">
        <f>VLOOKUP(C11,[1]基本信息!$B$2:$H$40,7,0)</f>
        <v>43959</v>
      </c>
      <c r="C11" s="31" t="s">
        <v>71</v>
      </c>
      <c r="D11" s="9" t="s">
        <v>67</v>
      </c>
      <c r="E11" s="9">
        <v>5400</v>
      </c>
      <c r="F11" s="7">
        <v>26</v>
      </c>
      <c r="G11" s="32">
        <f t="shared" si="0"/>
        <v>26</v>
      </c>
      <c r="H11" s="9"/>
      <c r="I11" s="9"/>
      <c r="J11" s="9"/>
      <c r="K11" s="9"/>
      <c r="L11" s="9"/>
      <c r="M11" s="18"/>
      <c r="N11" s="9"/>
      <c r="O11" s="9"/>
      <c r="P11" s="9"/>
      <c r="Q11" s="9"/>
      <c r="R11" s="46"/>
      <c r="S11" s="9">
        <f t="shared" si="1"/>
        <v>0</v>
      </c>
      <c r="T11" s="9"/>
      <c r="U11" s="9">
        <f t="shared" si="2"/>
        <v>0</v>
      </c>
      <c r="V11" s="9"/>
      <c r="W11" s="9"/>
      <c r="X11" s="9"/>
      <c r="Y11" s="48">
        <f t="shared" si="3"/>
        <v>0</v>
      </c>
      <c r="Z11" s="9">
        <f t="shared" si="4"/>
        <v>0</v>
      </c>
      <c r="AA11" s="9"/>
      <c r="AB11" s="9"/>
      <c r="AC11" s="9">
        <f t="shared" si="5"/>
        <v>0</v>
      </c>
      <c r="AD11" s="9"/>
      <c r="AE11" s="19"/>
      <c r="AF11" s="29"/>
    </row>
    <row r="12" s="2" customFormat="1" ht="24.75" customHeight="1" spans="1:32">
      <c r="A12" s="7">
        <v>10</v>
      </c>
      <c r="B12" s="30">
        <f>VLOOKUP(C12,[1]基本信息!$B$2:$H$40,7,0)</f>
        <v>44571</v>
      </c>
      <c r="C12" s="31" t="s">
        <v>212</v>
      </c>
      <c r="D12" s="9" t="s">
        <v>67</v>
      </c>
      <c r="E12" s="9">
        <v>3300</v>
      </c>
      <c r="F12" s="7">
        <v>26</v>
      </c>
      <c r="G12" s="32">
        <f t="shared" si="0"/>
        <v>26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46"/>
      <c r="S12" s="9">
        <f t="shared" si="1"/>
        <v>0</v>
      </c>
      <c r="T12" s="9"/>
      <c r="U12" s="9">
        <f t="shared" si="2"/>
        <v>0</v>
      </c>
      <c r="V12" s="9"/>
      <c r="W12" s="9"/>
      <c r="X12" s="9"/>
      <c r="Y12" s="48">
        <f t="shared" si="3"/>
        <v>0</v>
      </c>
      <c r="Z12" s="9">
        <f t="shared" si="4"/>
        <v>0</v>
      </c>
      <c r="AA12" s="9"/>
      <c r="AB12" s="9"/>
      <c r="AC12" s="9">
        <f t="shared" si="5"/>
        <v>0</v>
      </c>
      <c r="AD12" s="9"/>
      <c r="AE12" s="19"/>
      <c r="AF12" s="29"/>
    </row>
    <row r="13" s="2" customFormat="1" ht="24.75" customHeight="1" spans="1:32">
      <c r="A13" s="7">
        <v>11</v>
      </c>
      <c r="B13" s="30">
        <f>VLOOKUP(C13,[1]基本信息!$B$2:$H$40,7,0)</f>
        <v>44746</v>
      </c>
      <c r="C13" s="31" t="s">
        <v>75</v>
      </c>
      <c r="D13" s="9" t="s">
        <v>67</v>
      </c>
      <c r="E13" s="9">
        <v>3300</v>
      </c>
      <c r="F13" s="7">
        <v>26</v>
      </c>
      <c r="G13" s="32">
        <f t="shared" si="0"/>
        <v>26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46"/>
      <c r="S13" s="9">
        <f t="shared" si="1"/>
        <v>0</v>
      </c>
      <c r="T13" s="9"/>
      <c r="U13" s="9">
        <f t="shared" si="2"/>
        <v>0</v>
      </c>
      <c r="V13" s="9"/>
      <c r="W13" s="9"/>
      <c r="X13" s="9"/>
      <c r="Y13" s="48">
        <f t="shared" si="3"/>
        <v>0</v>
      </c>
      <c r="Z13" s="9">
        <f t="shared" si="4"/>
        <v>0</v>
      </c>
      <c r="AA13" s="9"/>
      <c r="AB13" s="9"/>
      <c r="AC13" s="9">
        <f t="shared" si="5"/>
        <v>0</v>
      </c>
      <c r="AD13" s="9"/>
      <c r="AE13" s="19"/>
      <c r="AF13" s="29"/>
    </row>
    <row r="14" s="2" customFormat="1" ht="24.75" customHeight="1" spans="1:32">
      <c r="A14" s="7">
        <v>13</v>
      </c>
      <c r="B14" s="33"/>
      <c r="C14" s="31" t="s">
        <v>78</v>
      </c>
      <c r="D14" s="9" t="s">
        <v>67</v>
      </c>
      <c r="E14" s="9">
        <v>3300</v>
      </c>
      <c r="F14" s="7">
        <v>26</v>
      </c>
      <c r="G14" s="32">
        <f t="shared" si="0"/>
        <v>26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46"/>
      <c r="S14" s="9">
        <f t="shared" si="1"/>
        <v>0</v>
      </c>
      <c r="T14" s="9"/>
      <c r="U14" s="9">
        <f t="shared" ref="U14:U25" si="6">E14/F14/2*T14</f>
        <v>0</v>
      </c>
      <c r="V14" s="9"/>
      <c r="W14" s="9"/>
      <c r="X14" s="9"/>
      <c r="Y14" s="48">
        <f t="shared" ref="Y14:Y25" si="7">E14/F14*X14</f>
        <v>0</v>
      </c>
      <c r="Z14" s="9">
        <f t="shared" si="4"/>
        <v>0</v>
      </c>
      <c r="AA14" s="9"/>
      <c r="AB14" s="9"/>
      <c r="AC14" s="9">
        <f t="shared" ref="AC14:AC21" si="8">ROUND((E14/F14*AB14),2)</f>
        <v>0</v>
      </c>
      <c r="AD14" s="9"/>
      <c r="AE14" s="19"/>
      <c r="AF14" s="29"/>
    </row>
    <row r="15" s="2" customFormat="1" ht="24.75" customHeight="1" spans="1:32">
      <c r="A15" s="7">
        <v>14</v>
      </c>
      <c r="B15" s="35"/>
      <c r="C15" s="31" t="s">
        <v>81</v>
      </c>
      <c r="D15" s="9" t="s">
        <v>67</v>
      </c>
      <c r="E15" s="9">
        <v>6500</v>
      </c>
      <c r="F15" s="7">
        <v>26</v>
      </c>
      <c r="G15" s="32">
        <f t="shared" si="0"/>
        <v>26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46"/>
      <c r="S15" s="9">
        <f t="shared" si="1"/>
        <v>0</v>
      </c>
      <c r="T15" s="9"/>
      <c r="U15" s="9">
        <f t="shared" si="6"/>
        <v>0</v>
      </c>
      <c r="V15" s="9"/>
      <c r="W15" s="9"/>
      <c r="X15" s="9"/>
      <c r="Y15" s="48">
        <f t="shared" si="7"/>
        <v>0</v>
      </c>
      <c r="Z15" s="9">
        <f t="shared" si="4"/>
        <v>0</v>
      </c>
      <c r="AA15" s="9"/>
      <c r="AB15" s="9"/>
      <c r="AC15" s="9">
        <f t="shared" si="8"/>
        <v>0</v>
      </c>
      <c r="AD15" s="9"/>
      <c r="AE15" s="19"/>
      <c r="AF15" s="50"/>
    </row>
    <row r="16" s="2" customFormat="1" ht="24.75" customHeight="1" spans="1:32">
      <c r="A16" s="7">
        <v>15</v>
      </c>
      <c r="B16" s="35"/>
      <c r="C16" s="31" t="s">
        <v>215</v>
      </c>
      <c r="D16" s="9" t="s">
        <v>478</v>
      </c>
      <c r="E16" s="9">
        <v>5300</v>
      </c>
      <c r="F16" s="7">
        <v>24</v>
      </c>
      <c r="G16" s="32">
        <f t="shared" ref="G16:G40" si="9">F16-R16-T16-V16-X16</f>
        <v>24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46"/>
      <c r="S16" s="9">
        <f t="shared" si="1"/>
        <v>0</v>
      </c>
      <c r="T16" s="9"/>
      <c r="U16" s="9">
        <f t="shared" si="6"/>
        <v>0</v>
      </c>
      <c r="V16" s="9"/>
      <c r="W16" s="9"/>
      <c r="X16" s="9"/>
      <c r="Y16" s="48">
        <f t="shared" si="7"/>
        <v>0</v>
      </c>
      <c r="Z16" s="9">
        <f t="shared" ref="Z16:Z40" si="10">S16+U16++Q16+W16+Y16+L16</f>
        <v>0</v>
      </c>
      <c r="AA16" s="9"/>
      <c r="AB16" s="9"/>
      <c r="AC16" s="9">
        <f t="shared" ref="AC16:AC23" si="11">ROUND((E16/F16*AB16),2)</f>
        <v>0</v>
      </c>
      <c r="AD16" s="9"/>
      <c r="AE16" s="19"/>
      <c r="AF16" s="51"/>
    </row>
    <row r="17" s="2" customFormat="1" ht="24.75" customHeight="1" spans="1:32">
      <c r="A17" s="7">
        <v>16</v>
      </c>
      <c r="B17" s="35"/>
      <c r="C17" s="31" t="s">
        <v>124</v>
      </c>
      <c r="D17" s="36" t="s">
        <v>152</v>
      </c>
      <c r="E17" s="9">
        <v>11200</v>
      </c>
      <c r="F17" s="32">
        <v>21</v>
      </c>
      <c r="G17" s="32">
        <f t="shared" si="9"/>
        <v>21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46"/>
      <c r="S17" s="9">
        <f>E17/F17*R17</f>
        <v>0</v>
      </c>
      <c r="T17" s="9"/>
      <c r="U17" s="9">
        <f t="shared" si="6"/>
        <v>0</v>
      </c>
      <c r="V17" s="9"/>
      <c r="W17" s="9"/>
      <c r="X17" s="9"/>
      <c r="Y17" s="48">
        <f t="shared" si="7"/>
        <v>0</v>
      </c>
      <c r="Z17" s="9">
        <f t="shared" si="10"/>
        <v>0</v>
      </c>
      <c r="AA17" s="9"/>
      <c r="AB17" s="9"/>
      <c r="AC17" s="9">
        <f t="shared" si="11"/>
        <v>0</v>
      </c>
      <c r="AD17" s="9"/>
      <c r="AE17" s="19"/>
      <c r="AF17" s="51"/>
    </row>
    <row r="18" s="2" customFormat="1" ht="24.75" customHeight="1" spans="1:32">
      <c r="A18" s="7">
        <v>17</v>
      </c>
      <c r="B18" s="35"/>
      <c r="C18" s="31" t="s">
        <v>133</v>
      </c>
      <c r="D18" s="9" t="s">
        <v>128</v>
      </c>
      <c r="E18" s="9">
        <v>5700</v>
      </c>
      <c r="F18" s="32">
        <v>21</v>
      </c>
      <c r="G18" s="32">
        <f t="shared" si="9"/>
        <v>21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46"/>
      <c r="S18" s="9">
        <f t="shared" ref="S18:S24" si="12">E18/F18*R18</f>
        <v>0</v>
      </c>
      <c r="T18" s="9"/>
      <c r="U18" s="9">
        <f t="shared" si="6"/>
        <v>0</v>
      </c>
      <c r="V18" s="9"/>
      <c r="W18" s="9"/>
      <c r="X18" s="9"/>
      <c r="Y18" s="48">
        <f t="shared" si="7"/>
        <v>0</v>
      </c>
      <c r="Z18" s="9">
        <f t="shared" si="10"/>
        <v>0</v>
      </c>
      <c r="AA18" s="9"/>
      <c r="AB18" s="9"/>
      <c r="AC18" s="9">
        <f t="shared" si="11"/>
        <v>0</v>
      </c>
      <c r="AD18" s="9"/>
      <c r="AE18" s="19"/>
      <c r="AF18" s="51"/>
    </row>
    <row r="19" s="2" customFormat="1" ht="24.75" customHeight="1" spans="1:32">
      <c r="A19" s="7">
        <v>18</v>
      </c>
      <c r="B19" s="35"/>
      <c r="C19" s="31" t="s">
        <v>90</v>
      </c>
      <c r="D19" s="9" t="s">
        <v>67</v>
      </c>
      <c r="E19" s="9">
        <v>3000</v>
      </c>
      <c r="F19" s="7">
        <v>26</v>
      </c>
      <c r="G19" s="32">
        <f t="shared" si="9"/>
        <v>26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46"/>
      <c r="S19" s="9">
        <f t="shared" si="12"/>
        <v>0</v>
      </c>
      <c r="T19" s="9"/>
      <c r="U19" s="9">
        <f t="shared" si="6"/>
        <v>0</v>
      </c>
      <c r="V19" s="9"/>
      <c r="W19" s="9"/>
      <c r="X19" s="9"/>
      <c r="Y19" s="48">
        <f t="shared" si="7"/>
        <v>0</v>
      </c>
      <c r="Z19" s="9">
        <f t="shared" si="10"/>
        <v>0</v>
      </c>
      <c r="AA19" s="9"/>
      <c r="AB19" s="9"/>
      <c r="AC19" s="9">
        <f t="shared" si="11"/>
        <v>0</v>
      </c>
      <c r="AD19" s="9"/>
      <c r="AE19" s="19"/>
      <c r="AF19" s="51"/>
    </row>
    <row r="20" s="2" customFormat="1" ht="24.75" customHeight="1" spans="1:32">
      <c r="A20" s="7">
        <v>19</v>
      </c>
      <c r="B20" s="35"/>
      <c r="C20" s="31" t="s">
        <v>93</v>
      </c>
      <c r="D20" s="9" t="s">
        <v>67</v>
      </c>
      <c r="E20" s="9">
        <v>5500</v>
      </c>
      <c r="F20" s="7">
        <v>26</v>
      </c>
      <c r="G20" s="32">
        <f t="shared" si="9"/>
        <v>26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46"/>
      <c r="S20" s="9">
        <f t="shared" si="12"/>
        <v>0</v>
      </c>
      <c r="T20" s="9"/>
      <c r="U20" s="9">
        <f t="shared" si="6"/>
        <v>0</v>
      </c>
      <c r="V20" s="9"/>
      <c r="W20" s="9"/>
      <c r="X20" s="9"/>
      <c r="Y20" s="48">
        <f t="shared" si="7"/>
        <v>0</v>
      </c>
      <c r="Z20" s="9">
        <f t="shared" si="10"/>
        <v>0</v>
      </c>
      <c r="AA20" s="9"/>
      <c r="AB20" s="9"/>
      <c r="AC20" s="9">
        <f t="shared" si="11"/>
        <v>0</v>
      </c>
      <c r="AD20" s="9"/>
      <c r="AE20" s="19"/>
      <c r="AF20" s="51"/>
    </row>
    <row r="21" s="2" customFormat="1" ht="24.75" customHeight="1" spans="1:32">
      <c r="A21" s="7">
        <v>20</v>
      </c>
      <c r="B21" s="35"/>
      <c r="C21" s="31" t="s">
        <v>169</v>
      </c>
      <c r="D21" s="9" t="s">
        <v>165</v>
      </c>
      <c r="E21" s="9">
        <v>5000</v>
      </c>
      <c r="F21" s="7">
        <v>24</v>
      </c>
      <c r="G21" s="32">
        <f t="shared" si="9"/>
        <v>24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46"/>
      <c r="S21" s="9">
        <f t="shared" si="12"/>
        <v>0</v>
      </c>
      <c r="T21" s="9"/>
      <c r="U21" s="9">
        <f t="shared" si="6"/>
        <v>0</v>
      </c>
      <c r="V21" s="9"/>
      <c r="W21" s="9"/>
      <c r="X21" s="9"/>
      <c r="Y21" s="48">
        <f t="shared" si="7"/>
        <v>0</v>
      </c>
      <c r="Z21" s="9">
        <f t="shared" si="10"/>
        <v>0</v>
      </c>
      <c r="AA21" s="9"/>
      <c r="AB21" s="9"/>
      <c r="AC21" s="9">
        <f t="shared" si="11"/>
        <v>0</v>
      </c>
      <c r="AD21" s="9"/>
      <c r="AE21" s="19"/>
      <c r="AF21" s="51"/>
    </row>
    <row r="22" s="27" customFormat="1" ht="24.75" customHeight="1" spans="1:32">
      <c r="A22" s="7">
        <v>21</v>
      </c>
      <c r="B22" s="37"/>
      <c r="C22" s="36" t="s">
        <v>172</v>
      </c>
      <c r="D22" s="38" t="s">
        <v>165</v>
      </c>
      <c r="E22" s="9">
        <v>5000</v>
      </c>
      <c r="F22" s="7">
        <v>24</v>
      </c>
      <c r="G22" s="32">
        <f t="shared" si="9"/>
        <v>23.5</v>
      </c>
      <c r="H22" s="38"/>
      <c r="I22" s="38"/>
      <c r="J22" s="38"/>
      <c r="K22" s="38"/>
      <c r="L22" s="9"/>
      <c r="M22" s="38"/>
      <c r="N22" s="38"/>
      <c r="O22" s="38"/>
      <c r="P22" s="38"/>
      <c r="Q22" s="38"/>
      <c r="R22" s="46">
        <v>0.5</v>
      </c>
      <c r="S22" s="9">
        <f t="shared" si="12"/>
        <v>104.166666666667</v>
      </c>
      <c r="T22" s="38"/>
      <c r="U22" s="9">
        <f t="shared" si="6"/>
        <v>0</v>
      </c>
      <c r="V22" s="38"/>
      <c r="W22" s="38"/>
      <c r="X22" s="9"/>
      <c r="Y22" s="48">
        <f t="shared" si="7"/>
        <v>0</v>
      </c>
      <c r="Z22" s="9">
        <f t="shared" si="10"/>
        <v>104.166666666667</v>
      </c>
      <c r="AA22" s="38"/>
      <c r="AB22" s="38"/>
      <c r="AC22" s="38">
        <f t="shared" si="11"/>
        <v>0</v>
      </c>
      <c r="AD22" s="38"/>
      <c r="AE22" s="52"/>
      <c r="AF22" s="53"/>
    </row>
    <row r="23" s="27" customFormat="1" ht="24.75" customHeight="1" spans="1:32">
      <c r="A23" s="7">
        <v>22</v>
      </c>
      <c r="B23" s="37"/>
      <c r="C23" s="36" t="s">
        <v>136</v>
      </c>
      <c r="D23" s="38" t="s">
        <v>30</v>
      </c>
      <c r="E23" s="9">
        <v>7500</v>
      </c>
      <c r="F23" s="32">
        <v>21</v>
      </c>
      <c r="G23" s="32">
        <f t="shared" si="9"/>
        <v>21</v>
      </c>
      <c r="H23" s="38"/>
      <c r="I23" s="38"/>
      <c r="J23" s="38"/>
      <c r="K23" s="38"/>
      <c r="L23" s="9"/>
      <c r="M23" s="38"/>
      <c r="N23" s="38"/>
      <c r="O23" s="38"/>
      <c r="P23" s="38"/>
      <c r="Q23" s="38"/>
      <c r="R23" s="46"/>
      <c r="S23" s="9">
        <f t="shared" si="12"/>
        <v>0</v>
      </c>
      <c r="T23" s="38"/>
      <c r="U23" s="9">
        <f t="shared" si="6"/>
        <v>0</v>
      </c>
      <c r="V23" s="38"/>
      <c r="W23" s="38"/>
      <c r="X23" s="9"/>
      <c r="Y23" s="48">
        <f t="shared" si="7"/>
        <v>0</v>
      </c>
      <c r="Z23" s="9">
        <f t="shared" si="10"/>
        <v>0</v>
      </c>
      <c r="AA23" s="38"/>
      <c r="AB23" s="38"/>
      <c r="AC23" s="38">
        <f t="shared" si="11"/>
        <v>0</v>
      </c>
      <c r="AD23" s="38"/>
      <c r="AE23" s="52"/>
      <c r="AF23" s="53"/>
    </row>
    <row r="24" s="27" customFormat="1" ht="24.75" customHeight="1" spans="1:32">
      <c r="A24" s="7">
        <v>23</v>
      </c>
      <c r="B24" s="37"/>
      <c r="C24" s="36" t="s">
        <v>139</v>
      </c>
      <c r="D24" s="39" t="s">
        <v>30</v>
      </c>
      <c r="E24" s="9">
        <v>6800</v>
      </c>
      <c r="F24" s="32">
        <v>21</v>
      </c>
      <c r="G24" s="32">
        <f t="shared" si="9"/>
        <v>21</v>
      </c>
      <c r="H24" s="38"/>
      <c r="I24" s="38"/>
      <c r="J24" s="38"/>
      <c r="K24" s="38"/>
      <c r="L24" s="9"/>
      <c r="M24" s="38"/>
      <c r="N24" s="38"/>
      <c r="O24" s="38"/>
      <c r="P24" s="38"/>
      <c r="Q24" s="38"/>
      <c r="R24" s="46"/>
      <c r="S24" s="9">
        <f t="shared" si="12"/>
        <v>0</v>
      </c>
      <c r="T24" s="38"/>
      <c r="U24" s="9">
        <f t="shared" si="6"/>
        <v>0</v>
      </c>
      <c r="V24" s="38"/>
      <c r="W24" s="38"/>
      <c r="X24" s="9"/>
      <c r="Y24" s="48">
        <f t="shared" ref="Y24:Y40" si="13">E24/F24*X24</f>
        <v>0</v>
      </c>
      <c r="Z24" s="9">
        <f t="shared" si="10"/>
        <v>0</v>
      </c>
      <c r="AA24" s="38"/>
      <c r="AB24" s="38"/>
      <c r="AC24" s="38"/>
      <c r="AD24" s="38"/>
      <c r="AE24" s="52"/>
      <c r="AF24" s="54"/>
    </row>
    <row r="25" s="27" customFormat="1" ht="24.75" customHeight="1" spans="1:32">
      <c r="A25" s="7">
        <v>24</v>
      </c>
      <c r="B25" s="37"/>
      <c r="C25" s="36" t="s">
        <v>148</v>
      </c>
      <c r="D25" s="39" t="s">
        <v>143</v>
      </c>
      <c r="E25" s="9">
        <v>6800</v>
      </c>
      <c r="F25" s="32">
        <v>21</v>
      </c>
      <c r="G25" s="32">
        <f t="shared" si="9"/>
        <v>21</v>
      </c>
      <c r="H25" s="38"/>
      <c r="I25" s="38"/>
      <c r="J25" s="38"/>
      <c r="K25" s="38"/>
      <c r="L25" s="9"/>
      <c r="M25" s="38"/>
      <c r="N25" s="38"/>
      <c r="O25" s="38"/>
      <c r="P25" s="38"/>
      <c r="Q25" s="38"/>
      <c r="R25" s="27"/>
      <c r="S25" s="9">
        <f t="shared" ref="S25:S44" si="14">E25/F25*R25</f>
        <v>0</v>
      </c>
      <c r="T25" s="46"/>
      <c r="U25" s="9">
        <f t="shared" si="6"/>
        <v>0</v>
      </c>
      <c r="V25" s="38"/>
      <c r="W25" s="38"/>
      <c r="X25" s="9"/>
      <c r="Y25" s="48">
        <f t="shared" si="13"/>
        <v>0</v>
      </c>
      <c r="Z25" s="9">
        <f t="shared" si="10"/>
        <v>0</v>
      </c>
      <c r="AA25" s="38"/>
      <c r="AB25" s="38"/>
      <c r="AC25" s="38"/>
      <c r="AD25" s="38"/>
      <c r="AE25" s="52"/>
      <c r="AF25" s="54"/>
    </row>
    <row r="26" s="27" customFormat="1" ht="24.75" customHeight="1" spans="1:32">
      <c r="A26" s="7">
        <v>25</v>
      </c>
      <c r="B26" s="37"/>
      <c r="C26" s="36" t="s">
        <v>175</v>
      </c>
      <c r="D26" s="36" t="s">
        <v>165</v>
      </c>
      <c r="E26" s="9">
        <v>5000</v>
      </c>
      <c r="F26" s="7">
        <v>24</v>
      </c>
      <c r="G26" s="32">
        <f t="shared" si="9"/>
        <v>23.375</v>
      </c>
      <c r="H26" s="38"/>
      <c r="I26" s="38"/>
      <c r="J26" s="38"/>
      <c r="K26" s="38"/>
      <c r="L26" s="9"/>
      <c r="M26" s="38"/>
      <c r="N26" s="38"/>
      <c r="O26" s="38"/>
      <c r="P26" s="38"/>
      <c r="Q26" s="38"/>
      <c r="R26" s="46">
        <v>0.625</v>
      </c>
      <c r="S26" s="9">
        <f t="shared" si="14"/>
        <v>130.208333333333</v>
      </c>
      <c r="T26" s="38"/>
      <c r="U26" s="9">
        <f t="shared" ref="U26:U35" si="15">E26/F26/2*T26</f>
        <v>0</v>
      </c>
      <c r="V26" s="38"/>
      <c r="W26" s="38"/>
      <c r="X26" s="9"/>
      <c r="Y26" s="48">
        <f t="shared" si="13"/>
        <v>0</v>
      </c>
      <c r="Z26" s="9">
        <f t="shared" si="10"/>
        <v>130.208333333333</v>
      </c>
      <c r="AA26" s="38"/>
      <c r="AB26" s="38"/>
      <c r="AC26" s="38"/>
      <c r="AD26" s="38"/>
      <c r="AE26" s="52"/>
      <c r="AF26" s="54"/>
    </row>
    <row r="27" s="27" customFormat="1" ht="24.75" customHeight="1" spans="1:32">
      <c r="A27" s="7">
        <v>26</v>
      </c>
      <c r="B27" s="37"/>
      <c r="C27" s="36" t="s">
        <v>97</v>
      </c>
      <c r="D27" s="36" t="s">
        <v>67</v>
      </c>
      <c r="E27" s="9">
        <v>4300</v>
      </c>
      <c r="F27" s="7">
        <v>26</v>
      </c>
      <c r="G27" s="32">
        <f t="shared" si="9"/>
        <v>26</v>
      </c>
      <c r="H27" s="38"/>
      <c r="I27" s="38"/>
      <c r="J27" s="38"/>
      <c r="K27" s="38"/>
      <c r="L27" s="9"/>
      <c r="M27" s="38"/>
      <c r="N27" s="38"/>
      <c r="O27" s="38"/>
      <c r="P27" s="38"/>
      <c r="Q27" s="38"/>
      <c r="R27" s="46"/>
      <c r="S27" s="9">
        <f t="shared" si="14"/>
        <v>0</v>
      </c>
      <c r="T27" s="38"/>
      <c r="U27" s="9">
        <f t="shared" si="15"/>
        <v>0</v>
      </c>
      <c r="V27" s="38"/>
      <c r="W27" s="38"/>
      <c r="X27" s="9"/>
      <c r="Y27" s="48">
        <f t="shared" si="13"/>
        <v>0</v>
      </c>
      <c r="Z27" s="9">
        <f t="shared" si="10"/>
        <v>0</v>
      </c>
      <c r="AA27" s="38"/>
      <c r="AB27" s="38"/>
      <c r="AC27" s="38"/>
      <c r="AD27" s="38"/>
      <c r="AE27" s="52"/>
      <c r="AF27" s="54"/>
    </row>
    <row r="28" s="27" customFormat="1" ht="24.75" customHeight="1" spans="1:32">
      <c r="A28" s="7">
        <v>27</v>
      </c>
      <c r="B28" s="37"/>
      <c r="C28" s="36" t="s">
        <v>100</v>
      </c>
      <c r="D28" s="36" t="s">
        <v>67</v>
      </c>
      <c r="E28" s="9">
        <v>13200</v>
      </c>
      <c r="F28" s="32">
        <v>21</v>
      </c>
      <c r="G28" s="32">
        <f t="shared" si="9"/>
        <v>16</v>
      </c>
      <c r="H28" s="38"/>
      <c r="I28" s="38"/>
      <c r="J28" s="38"/>
      <c r="K28" s="38"/>
      <c r="L28" s="9"/>
      <c r="M28" s="38"/>
      <c r="N28" s="38"/>
      <c r="O28" s="38"/>
      <c r="P28" s="38"/>
      <c r="Q28" s="38"/>
      <c r="R28" s="46">
        <v>5</v>
      </c>
      <c r="S28" s="9">
        <f t="shared" si="14"/>
        <v>3142.85714285714</v>
      </c>
      <c r="T28" s="38"/>
      <c r="U28" s="9">
        <f t="shared" si="15"/>
        <v>0</v>
      </c>
      <c r="V28" s="38"/>
      <c r="W28" s="38"/>
      <c r="X28" s="9"/>
      <c r="Y28" s="48">
        <f t="shared" si="13"/>
        <v>0</v>
      </c>
      <c r="Z28" s="9">
        <f t="shared" si="10"/>
        <v>3142.85714285714</v>
      </c>
      <c r="AA28" s="38"/>
      <c r="AB28" s="38"/>
      <c r="AC28" s="38"/>
      <c r="AD28" s="38"/>
      <c r="AE28" s="55"/>
      <c r="AF28" s="54"/>
    </row>
    <row r="29" s="27" customFormat="1" ht="24.75" customHeight="1" spans="1:32">
      <c r="A29" s="7">
        <v>28</v>
      </c>
      <c r="B29" s="37"/>
      <c r="C29" s="36" t="s">
        <v>156</v>
      </c>
      <c r="D29" s="36" t="s">
        <v>152</v>
      </c>
      <c r="E29" s="9">
        <v>10200</v>
      </c>
      <c r="F29" s="32">
        <v>21</v>
      </c>
      <c r="G29" s="32">
        <f t="shared" si="9"/>
        <v>21</v>
      </c>
      <c r="H29" s="38"/>
      <c r="I29" s="38"/>
      <c r="J29" s="38"/>
      <c r="K29" s="38"/>
      <c r="L29" s="9"/>
      <c r="M29" s="38"/>
      <c r="N29" s="38"/>
      <c r="O29" s="38"/>
      <c r="P29" s="38"/>
      <c r="Q29" s="38"/>
      <c r="R29" s="46"/>
      <c r="S29" s="9">
        <f t="shared" si="14"/>
        <v>0</v>
      </c>
      <c r="T29" s="38"/>
      <c r="U29" s="9">
        <f t="shared" si="15"/>
        <v>0</v>
      </c>
      <c r="V29" s="38"/>
      <c r="W29" s="38"/>
      <c r="X29" s="9"/>
      <c r="Y29" s="48">
        <f t="shared" si="13"/>
        <v>0</v>
      </c>
      <c r="Z29" s="9">
        <f t="shared" si="10"/>
        <v>0</v>
      </c>
      <c r="AA29" s="38"/>
      <c r="AB29" s="38"/>
      <c r="AC29" s="38"/>
      <c r="AD29" s="56"/>
      <c r="AE29" s="57"/>
      <c r="AF29" s="58"/>
    </row>
    <row r="30" s="27" customFormat="1" ht="24.75" customHeight="1" spans="1:32">
      <c r="A30" s="7">
        <v>29</v>
      </c>
      <c r="B30" s="37"/>
      <c r="C30" s="36" t="s">
        <v>158</v>
      </c>
      <c r="D30" s="36" t="s">
        <v>152</v>
      </c>
      <c r="E30" s="9">
        <v>7500</v>
      </c>
      <c r="F30" s="32">
        <v>21</v>
      </c>
      <c r="G30" s="32">
        <f t="shared" si="9"/>
        <v>21</v>
      </c>
      <c r="H30" s="38"/>
      <c r="I30" s="38"/>
      <c r="J30" s="38"/>
      <c r="K30" s="38"/>
      <c r="L30" s="9"/>
      <c r="M30" s="38"/>
      <c r="N30" s="38"/>
      <c r="O30" s="38"/>
      <c r="P30" s="38"/>
      <c r="Q30" s="38"/>
      <c r="R30" s="46"/>
      <c r="S30" s="9">
        <f t="shared" si="14"/>
        <v>0</v>
      </c>
      <c r="T30" s="38"/>
      <c r="U30" s="9">
        <f t="shared" si="15"/>
        <v>0</v>
      </c>
      <c r="V30" s="38"/>
      <c r="W30" s="38"/>
      <c r="X30" s="9"/>
      <c r="Y30" s="48">
        <f t="shared" si="13"/>
        <v>0</v>
      </c>
      <c r="Z30" s="9">
        <f t="shared" si="10"/>
        <v>0</v>
      </c>
      <c r="AA30" s="38"/>
      <c r="AB30" s="38"/>
      <c r="AC30" s="38"/>
      <c r="AD30" s="56"/>
      <c r="AE30" s="57"/>
      <c r="AF30" s="58"/>
    </row>
    <row r="31" s="27" customFormat="1" ht="24.75" customHeight="1" spans="1:32">
      <c r="A31" s="7">
        <v>30</v>
      </c>
      <c r="B31" s="37"/>
      <c r="C31" s="36" t="s">
        <v>103</v>
      </c>
      <c r="D31" s="36" t="s">
        <v>152</v>
      </c>
      <c r="E31" s="9">
        <v>5000</v>
      </c>
      <c r="F31" s="7">
        <v>27</v>
      </c>
      <c r="G31" s="32">
        <f t="shared" si="9"/>
        <v>27</v>
      </c>
      <c r="H31" s="38"/>
      <c r="I31" s="38"/>
      <c r="J31" s="38"/>
      <c r="K31" s="38"/>
      <c r="L31" s="9"/>
      <c r="M31" s="38"/>
      <c r="N31" s="38"/>
      <c r="O31" s="38"/>
      <c r="P31" s="38"/>
      <c r="Q31" s="38"/>
      <c r="R31" s="46"/>
      <c r="S31" s="9">
        <f t="shared" si="14"/>
        <v>0</v>
      </c>
      <c r="T31" s="38"/>
      <c r="U31" s="9">
        <f t="shared" si="15"/>
        <v>0</v>
      </c>
      <c r="V31" s="38"/>
      <c r="W31" s="38"/>
      <c r="X31" s="9"/>
      <c r="Y31" s="48">
        <f t="shared" si="13"/>
        <v>0</v>
      </c>
      <c r="Z31" s="9">
        <f t="shared" si="10"/>
        <v>0</v>
      </c>
      <c r="AA31" s="38"/>
      <c r="AB31" s="38"/>
      <c r="AC31" s="38"/>
      <c r="AD31" s="56"/>
      <c r="AE31" s="57"/>
      <c r="AF31" s="59"/>
    </row>
    <row r="32" s="27" customFormat="1" ht="24.75" customHeight="1" spans="1:32">
      <c r="A32" s="7">
        <v>31</v>
      </c>
      <c r="B32" s="37"/>
      <c r="C32" s="36" t="s">
        <v>178</v>
      </c>
      <c r="D32" s="36" t="s">
        <v>165</v>
      </c>
      <c r="E32" s="9">
        <v>5000</v>
      </c>
      <c r="F32" s="7">
        <v>25</v>
      </c>
      <c r="G32" s="32">
        <f t="shared" si="9"/>
        <v>24.625</v>
      </c>
      <c r="H32" s="38"/>
      <c r="I32" s="38"/>
      <c r="J32" s="38"/>
      <c r="K32" s="38"/>
      <c r="L32" s="9"/>
      <c r="M32" s="38"/>
      <c r="N32" s="38"/>
      <c r="O32" s="38"/>
      <c r="P32" s="38"/>
      <c r="Q32" s="38"/>
      <c r="R32" s="38"/>
      <c r="S32" s="9">
        <f t="shared" si="14"/>
        <v>0</v>
      </c>
      <c r="T32" s="27">
        <v>0.375</v>
      </c>
      <c r="U32" s="9">
        <f t="shared" si="15"/>
        <v>37.5</v>
      </c>
      <c r="V32" s="38"/>
      <c r="W32" s="38"/>
      <c r="X32" s="9"/>
      <c r="Y32" s="48">
        <f t="shared" si="13"/>
        <v>0</v>
      </c>
      <c r="Z32" s="9">
        <f t="shared" si="10"/>
        <v>37.5</v>
      </c>
      <c r="AA32" s="38"/>
      <c r="AB32" s="38"/>
      <c r="AC32" s="38"/>
      <c r="AD32" s="56"/>
      <c r="AE32" s="57"/>
      <c r="AF32" s="59"/>
    </row>
    <row r="33" s="27" customFormat="1" ht="24.75" customHeight="1" spans="1:32">
      <c r="A33" s="7">
        <v>32</v>
      </c>
      <c r="B33" s="37"/>
      <c r="C33" s="36" t="s">
        <v>105</v>
      </c>
      <c r="D33" s="36" t="s">
        <v>67</v>
      </c>
      <c r="E33" s="9">
        <v>4500</v>
      </c>
      <c r="F33" s="7">
        <v>26</v>
      </c>
      <c r="G33" s="32">
        <f t="shared" si="9"/>
        <v>26</v>
      </c>
      <c r="H33" s="38"/>
      <c r="I33" s="38"/>
      <c r="J33" s="38"/>
      <c r="K33" s="38"/>
      <c r="L33" s="9"/>
      <c r="M33" s="38"/>
      <c r="N33" s="38"/>
      <c r="O33" s="38"/>
      <c r="P33" s="38"/>
      <c r="Q33" s="38"/>
      <c r="R33" s="46"/>
      <c r="S33" s="9">
        <f t="shared" si="14"/>
        <v>0</v>
      </c>
      <c r="T33" s="38"/>
      <c r="U33" s="9">
        <f t="shared" si="15"/>
        <v>0</v>
      </c>
      <c r="V33" s="38"/>
      <c r="W33" s="38"/>
      <c r="X33" s="9"/>
      <c r="Y33" s="48">
        <f t="shared" si="13"/>
        <v>0</v>
      </c>
      <c r="Z33" s="9">
        <f t="shared" si="10"/>
        <v>0</v>
      </c>
      <c r="AA33" s="38"/>
      <c r="AB33" s="38"/>
      <c r="AC33" s="38"/>
      <c r="AD33" s="56"/>
      <c r="AE33" s="57"/>
      <c r="AF33" s="59"/>
    </row>
    <row r="34" s="27" customFormat="1" ht="30" customHeight="1" spans="1:32">
      <c r="A34" s="7">
        <v>33</v>
      </c>
      <c r="B34" s="40"/>
      <c r="C34" s="36" t="s">
        <v>180</v>
      </c>
      <c r="D34" s="36" t="s">
        <v>165</v>
      </c>
      <c r="E34" s="9">
        <v>5000</v>
      </c>
      <c r="F34" s="7">
        <v>24</v>
      </c>
      <c r="G34" s="32">
        <f t="shared" si="9"/>
        <v>23</v>
      </c>
      <c r="H34" s="40"/>
      <c r="I34" s="40"/>
      <c r="J34" s="40"/>
      <c r="K34" s="40"/>
      <c r="L34" s="9"/>
      <c r="M34" s="40"/>
      <c r="N34" s="40"/>
      <c r="O34" s="40"/>
      <c r="P34" s="40"/>
      <c r="Q34" s="40"/>
      <c r="R34" s="47">
        <v>1</v>
      </c>
      <c r="S34" s="9">
        <f t="shared" si="14"/>
        <v>208.333333333333</v>
      </c>
      <c r="T34" s="48"/>
      <c r="U34" s="9">
        <f t="shared" si="15"/>
        <v>0</v>
      </c>
      <c r="V34" s="48"/>
      <c r="W34" s="48"/>
      <c r="X34" s="48"/>
      <c r="Y34" s="48">
        <f t="shared" si="13"/>
        <v>0</v>
      </c>
      <c r="Z34" s="9">
        <f t="shared" si="10"/>
        <v>208.333333333333</v>
      </c>
      <c r="AA34" s="48"/>
      <c r="AB34" s="48"/>
      <c r="AC34" s="48"/>
      <c r="AD34" s="60"/>
      <c r="AE34" s="61"/>
      <c r="AF34" s="62"/>
    </row>
    <row r="35" s="27" customFormat="1" ht="30" customHeight="1" spans="1:32">
      <c r="A35" s="7">
        <v>34</v>
      </c>
      <c r="B35" s="40"/>
      <c r="C35" s="36" t="s">
        <v>129</v>
      </c>
      <c r="D35" s="9" t="s">
        <v>128</v>
      </c>
      <c r="E35" s="9">
        <v>8000</v>
      </c>
      <c r="F35" s="32">
        <v>21</v>
      </c>
      <c r="G35" s="32">
        <f t="shared" si="9"/>
        <v>20.75</v>
      </c>
      <c r="H35" s="40"/>
      <c r="I35" s="40"/>
      <c r="J35" s="40"/>
      <c r="K35" s="40"/>
      <c r="L35" s="9"/>
      <c r="M35" s="40"/>
      <c r="N35" s="40"/>
      <c r="O35" s="40"/>
      <c r="P35" s="40"/>
      <c r="Q35" s="40"/>
      <c r="R35" s="47">
        <v>0.25</v>
      </c>
      <c r="S35" s="9">
        <f t="shared" si="14"/>
        <v>95.2380952380952</v>
      </c>
      <c r="T35" s="48"/>
      <c r="U35" s="9">
        <f t="shared" si="15"/>
        <v>0</v>
      </c>
      <c r="V35" s="48"/>
      <c r="W35" s="48"/>
      <c r="X35" s="48"/>
      <c r="Y35" s="48">
        <f t="shared" si="13"/>
        <v>0</v>
      </c>
      <c r="Z35" s="9">
        <f t="shared" si="10"/>
        <v>95.2380952380952</v>
      </c>
      <c r="AA35" s="48"/>
      <c r="AB35" s="48"/>
      <c r="AC35" s="48"/>
      <c r="AD35" s="60"/>
      <c r="AE35" s="61"/>
      <c r="AF35" s="62"/>
    </row>
    <row r="36" s="27" customFormat="1" ht="30" customHeight="1" spans="1:32">
      <c r="A36" s="7">
        <v>35</v>
      </c>
      <c r="B36" s="40"/>
      <c r="C36" s="36" t="s">
        <v>183</v>
      </c>
      <c r="D36" s="36" t="s">
        <v>165</v>
      </c>
      <c r="E36" s="9">
        <v>9300</v>
      </c>
      <c r="F36" s="32">
        <v>21</v>
      </c>
      <c r="G36" s="32">
        <f t="shared" si="9"/>
        <v>20.375</v>
      </c>
      <c r="H36" s="40"/>
      <c r="I36" s="40"/>
      <c r="J36" s="40"/>
      <c r="K36" s="40"/>
      <c r="L36" s="9"/>
      <c r="M36" s="40"/>
      <c r="N36" s="40"/>
      <c r="O36" s="40"/>
      <c r="P36" s="40"/>
      <c r="Q36" s="40"/>
      <c r="R36" s="47">
        <v>0.625</v>
      </c>
      <c r="S36" s="9">
        <f t="shared" si="14"/>
        <v>276.785714285714</v>
      </c>
      <c r="T36" s="48"/>
      <c r="U36" s="48"/>
      <c r="V36" s="48"/>
      <c r="W36" s="48"/>
      <c r="X36" s="48"/>
      <c r="Y36" s="48">
        <f t="shared" si="13"/>
        <v>0</v>
      </c>
      <c r="Z36" s="9">
        <f t="shared" si="10"/>
        <v>276.785714285714</v>
      </c>
      <c r="AA36" s="48"/>
      <c r="AB36" s="48"/>
      <c r="AC36" s="48"/>
      <c r="AD36" s="60"/>
      <c r="AE36" s="61"/>
      <c r="AF36" s="62"/>
    </row>
    <row r="37" s="27" customFormat="1" ht="30" customHeight="1" spans="1:32">
      <c r="A37" s="7">
        <v>36</v>
      </c>
      <c r="B37" s="40"/>
      <c r="C37" s="36" t="s">
        <v>61</v>
      </c>
      <c r="D37" s="36" t="s">
        <v>52</v>
      </c>
      <c r="E37" s="9">
        <v>5000</v>
      </c>
      <c r="F37" s="32">
        <v>21</v>
      </c>
      <c r="G37" s="32">
        <f t="shared" si="9"/>
        <v>21</v>
      </c>
      <c r="H37" s="40"/>
      <c r="I37" s="40"/>
      <c r="J37" s="40"/>
      <c r="K37" s="40"/>
      <c r="L37" s="9"/>
      <c r="M37" s="40"/>
      <c r="N37" s="40"/>
      <c r="O37" s="40"/>
      <c r="P37" s="40"/>
      <c r="Q37" s="40"/>
      <c r="R37" s="47"/>
      <c r="S37" s="9">
        <f t="shared" si="14"/>
        <v>0</v>
      </c>
      <c r="T37" s="48"/>
      <c r="U37" s="48"/>
      <c r="V37" s="48"/>
      <c r="W37" s="48"/>
      <c r="X37" s="48"/>
      <c r="Y37" s="48">
        <f t="shared" si="13"/>
        <v>0</v>
      </c>
      <c r="Z37" s="9">
        <f t="shared" si="10"/>
        <v>0</v>
      </c>
      <c r="AA37" s="48"/>
      <c r="AB37" s="48"/>
      <c r="AC37" s="48"/>
      <c r="AD37" s="60"/>
      <c r="AE37" s="61"/>
      <c r="AF37" s="62"/>
    </row>
    <row r="38" s="27" customFormat="1" ht="30" customHeight="1" spans="1:32">
      <c r="A38" s="7">
        <v>37</v>
      </c>
      <c r="B38" s="40"/>
      <c r="C38" s="36" t="s">
        <v>192</v>
      </c>
      <c r="D38" s="36" t="s">
        <v>478</v>
      </c>
      <c r="E38" s="9">
        <v>8000</v>
      </c>
      <c r="F38" s="32">
        <v>21</v>
      </c>
      <c r="G38" s="32">
        <f t="shared" si="9"/>
        <v>21</v>
      </c>
      <c r="H38" s="40"/>
      <c r="I38" s="40"/>
      <c r="J38" s="40"/>
      <c r="K38" s="40"/>
      <c r="L38" s="9"/>
      <c r="M38" s="40"/>
      <c r="N38" s="40"/>
      <c r="O38" s="40"/>
      <c r="P38" s="40"/>
      <c r="Q38" s="40"/>
      <c r="R38" s="47"/>
      <c r="S38" s="9">
        <f t="shared" si="14"/>
        <v>0</v>
      </c>
      <c r="T38" s="48"/>
      <c r="U38" s="48"/>
      <c r="V38" s="48"/>
      <c r="W38" s="48"/>
      <c r="X38" s="48"/>
      <c r="Y38" s="48">
        <f t="shared" si="13"/>
        <v>0</v>
      </c>
      <c r="Z38" s="9">
        <f t="shared" si="10"/>
        <v>0</v>
      </c>
      <c r="AA38" s="48"/>
      <c r="AB38" s="48"/>
      <c r="AC38" s="48"/>
      <c r="AD38" s="60"/>
      <c r="AE38" s="61"/>
      <c r="AF38" s="62"/>
    </row>
    <row r="39" s="27" customFormat="1" ht="30" customHeight="1" spans="1:32">
      <c r="A39" s="7">
        <v>38</v>
      </c>
      <c r="B39" s="40"/>
      <c r="C39" s="41" t="s">
        <v>107</v>
      </c>
      <c r="D39" s="36" t="s">
        <v>67</v>
      </c>
      <c r="E39" s="9">
        <v>3700</v>
      </c>
      <c r="F39" s="7">
        <v>26</v>
      </c>
      <c r="G39" s="32">
        <f t="shared" si="9"/>
        <v>26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7"/>
      <c r="S39" s="9">
        <f t="shared" si="14"/>
        <v>0</v>
      </c>
      <c r="T39" s="48"/>
      <c r="U39" s="48"/>
      <c r="V39" s="48"/>
      <c r="W39" s="48"/>
      <c r="X39" s="48"/>
      <c r="Y39" s="48">
        <f t="shared" si="13"/>
        <v>0</v>
      </c>
      <c r="Z39" s="9">
        <f t="shared" si="10"/>
        <v>0</v>
      </c>
      <c r="AA39" s="48"/>
      <c r="AB39" s="48"/>
      <c r="AC39" s="48"/>
      <c r="AD39" s="60"/>
      <c r="AE39" s="61"/>
      <c r="AF39" s="62"/>
    </row>
    <row r="40" s="27" customFormat="1" ht="30" customHeight="1" spans="1:32">
      <c r="A40" s="7">
        <v>39</v>
      </c>
      <c r="B40" s="40"/>
      <c r="C40" s="41" t="s">
        <v>162</v>
      </c>
      <c r="D40" s="36" t="s">
        <v>152</v>
      </c>
      <c r="E40" s="9">
        <v>18000</v>
      </c>
      <c r="F40" s="32">
        <v>21</v>
      </c>
      <c r="G40" s="32">
        <f t="shared" si="9"/>
        <v>21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7"/>
      <c r="S40" s="9">
        <f t="shared" si="14"/>
        <v>0</v>
      </c>
      <c r="T40" s="48"/>
      <c r="U40" s="48"/>
      <c r="V40" s="48"/>
      <c r="W40" s="48"/>
      <c r="X40" s="48"/>
      <c r="Y40" s="48">
        <f t="shared" si="13"/>
        <v>0</v>
      </c>
      <c r="Z40" s="9">
        <f t="shared" si="10"/>
        <v>0</v>
      </c>
      <c r="AA40" s="48"/>
      <c r="AB40" s="48"/>
      <c r="AC40" s="48"/>
      <c r="AD40" s="60"/>
      <c r="AE40" s="61"/>
      <c r="AF40" s="62"/>
    </row>
    <row r="41" s="27" customFormat="1" ht="30" customHeight="1" spans="1:32">
      <c r="A41" s="7">
        <v>40</v>
      </c>
      <c r="B41" s="40"/>
      <c r="C41" s="38" t="s">
        <v>202</v>
      </c>
      <c r="D41" s="38" t="s">
        <v>478</v>
      </c>
      <c r="E41" s="9">
        <v>4200</v>
      </c>
      <c r="F41" s="39">
        <v>24</v>
      </c>
      <c r="G41" s="32">
        <f t="shared" ref="G41:G51" si="16">F41-R41-T41-V41-X41</f>
        <v>24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7"/>
      <c r="S41" s="9">
        <f t="shared" si="14"/>
        <v>0</v>
      </c>
      <c r="T41" s="48"/>
      <c r="U41" s="48"/>
      <c r="V41" s="48"/>
      <c r="W41" s="48"/>
      <c r="X41" s="48"/>
      <c r="Y41" s="48">
        <f t="shared" ref="Y41:Y51" si="17">E41/F41*X41</f>
        <v>0</v>
      </c>
      <c r="Z41" s="9">
        <f t="shared" ref="Z41:Z51" si="18">S41+U41++Q41+W41+Y41+L41</f>
        <v>0</v>
      </c>
      <c r="AA41" s="48"/>
      <c r="AB41" s="48"/>
      <c r="AC41" s="48"/>
      <c r="AD41" s="60"/>
      <c r="AE41" s="61"/>
      <c r="AF41" s="62"/>
    </row>
    <row r="42" s="27" customFormat="1" ht="30" customHeight="1" spans="1:32">
      <c r="A42" s="7">
        <v>41</v>
      </c>
      <c r="B42" s="40"/>
      <c r="C42" s="38" t="s">
        <v>205</v>
      </c>
      <c r="D42" s="38" t="s">
        <v>478</v>
      </c>
      <c r="E42" s="9">
        <v>4200</v>
      </c>
      <c r="F42" s="39">
        <v>24</v>
      </c>
      <c r="G42" s="32">
        <f t="shared" si="16"/>
        <v>24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7"/>
      <c r="S42" s="9">
        <f t="shared" si="14"/>
        <v>0</v>
      </c>
      <c r="T42" s="48"/>
      <c r="U42" s="48"/>
      <c r="V42" s="48"/>
      <c r="W42" s="48"/>
      <c r="X42" s="48"/>
      <c r="Y42" s="48">
        <f t="shared" si="17"/>
        <v>0</v>
      </c>
      <c r="Z42" s="9">
        <f t="shared" si="18"/>
        <v>0</v>
      </c>
      <c r="AA42" s="48"/>
      <c r="AB42" s="48"/>
      <c r="AC42" s="48"/>
      <c r="AD42" s="60"/>
      <c r="AE42" s="61"/>
      <c r="AF42" s="62"/>
    </row>
    <row r="43" s="27" customFormat="1" ht="30" customHeight="1" spans="1:32">
      <c r="A43" s="7">
        <v>42</v>
      </c>
      <c r="B43" s="40"/>
      <c r="C43" s="41" t="s">
        <v>57</v>
      </c>
      <c r="D43" s="36" t="s">
        <v>52</v>
      </c>
      <c r="E43" s="9">
        <v>5500</v>
      </c>
      <c r="F43" s="32">
        <v>21</v>
      </c>
      <c r="G43" s="32">
        <f t="shared" si="16"/>
        <v>21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7"/>
      <c r="S43" s="9">
        <f t="shared" si="14"/>
        <v>0</v>
      </c>
      <c r="T43" s="48"/>
      <c r="U43" s="48"/>
      <c r="V43" s="48"/>
      <c r="W43" s="48"/>
      <c r="X43" s="48"/>
      <c r="Y43" s="48">
        <f t="shared" si="17"/>
        <v>0</v>
      </c>
      <c r="Z43" s="9">
        <f t="shared" si="18"/>
        <v>0</v>
      </c>
      <c r="AA43" s="48"/>
      <c r="AB43" s="48"/>
      <c r="AC43" s="48"/>
      <c r="AD43" s="60"/>
      <c r="AE43" s="61"/>
      <c r="AF43" s="62"/>
    </row>
    <row r="44" s="27" customFormat="1" ht="30" customHeight="1" spans="1:32">
      <c r="A44" s="7">
        <v>43</v>
      </c>
      <c r="B44" s="40"/>
      <c r="C44" s="41" t="s">
        <v>144</v>
      </c>
      <c r="D44" s="9" t="s">
        <v>143</v>
      </c>
      <c r="E44" s="9">
        <v>6000</v>
      </c>
      <c r="F44" s="39">
        <v>26</v>
      </c>
      <c r="G44" s="32">
        <f t="shared" si="16"/>
        <v>23.625</v>
      </c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7">
        <v>2.375</v>
      </c>
      <c r="S44" s="9">
        <f t="shared" si="14"/>
        <v>548.076923076923</v>
      </c>
      <c r="T44" s="48"/>
      <c r="U44" s="48"/>
      <c r="V44" s="48"/>
      <c r="W44" s="48"/>
      <c r="X44" s="48"/>
      <c r="Y44" s="48">
        <f t="shared" si="17"/>
        <v>0</v>
      </c>
      <c r="Z44" s="9">
        <f t="shared" si="18"/>
        <v>548.076923076923</v>
      </c>
      <c r="AA44" s="48">
        <f>SUM(AA4:AA33)</f>
        <v>0</v>
      </c>
      <c r="AB44" s="48">
        <f>SUM(AB4:AB33)</f>
        <v>0</v>
      </c>
      <c r="AC44" s="48">
        <f>SUM(AC4:AC33)</f>
        <v>0</v>
      </c>
      <c r="AD44" s="48">
        <f>SUM(AD4:AD33)</f>
        <v>0</v>
      </c>
      <c r="AE44" s="48">
        <f>SUM(AE4:AE33)</f>
        <v>0</v>
      </c>
      <c r="AF44" s="62"/>
    </row>
    <row r="45" s="27" customFormat="1" ht="30" customHeight="1" spans="1:32">
      <c r="A45" s="7">
        <v>44</v>
      </c>
      <c r="B45" s="40"/>
      <c r="C45" s="41" t="s">
        <v>153</v>
      </c>
      <c r="D45" s="36" t="s">
        <v>152</v>
      </c>
      <c r="E45" s="9">
        <v>18000</v>
      </c>
      <c r="F45" s="32">
        <v>21</v>
      </c>
      <c r="G45" s="32">
        <f t="shared" si="16"/>
        <v>21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7"/>
      <c r="S45" s="9"/>
      <c r="T45" s="48"/>
      <c r="U45" s="48"/>
      <c r="V45" s="48"/>
      <c r="W45" s="48"/>
      <c r="X45" s="48"/>
      <c r="Y45" s="48">
        <f t="shared" si="17"/>
        <v>0</v>
      </c>
      <c r="Z45" s="9">
        <f t="shared" si="18"/>
        <v>0</v>
      </c>
      <c r="AA45" s="48"/>
      <c r="AB45" s="48"/>
      <c r="AC45" s="48"/>
      <c r="AD45" s="60"/>
      <c r="AE45" s="61"/>
      <c r="AF45" s="62"/>
    </row>
    <row r="46" s="27" customFormat="1" ht="30" customHeight="1" spans="1:32">
      <c r="A46" s="7">
        <v>45</v>
      </c>
      <c r="B46" s="40"/>
      <c r="C46" s="42" t="s">
        <v>199</v>
      </c>
      <c r="D46" s="38" t="s">
        <v>478</v>
      </c>
      <c r="E46" s="9">
        <v>4500</v>
      </c>
      <c r="F46" s="39">
        <v>24</v>
      </c>
      <c r="G46" s="32">
        <f t="shared" si="16"/>
        <v>9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7"/>
      <c r="S46" s="9"/>
      <c r="T46" s="48"/>
      <c r="U46" s="48"/>
      <c r="V46" s="48"/>
      <c r="W46" s="48"/>
      <c r="X46" s="48">
        <v>15</v>
      </c>
      <c r="Y46" s="48">
        <f t="shared" si="17"/>
        <v>2812.5</v>
      </c>
      <c r="Z46" s="9">
        <f t="shared" si="18"/>
        <v>2812.5</v>
      </c>
      <c r="AA46" s="48"/>
      <c r="AB46" s="48"/>
      <c r="AC46" s="48"/>
      <c r="AD46" s="60"/>
      <c r="AE46" s="61"/>
      <c r="AF46" s="62"/>
    </row>
    <row r="47" s="27" customFormat="1" ht="30" customHeight="1" spans="1:32">
      <c r="A47" s="7">
        <v>46</v>
      </c>
      <c r="B47" s="40"/>
      <c r="C47" s="41" t="s">
        <v>361</v>
      </c>
      <c r="D47" s="36" t="s">
        <v>152</v>
      </c>
      <c r="E47" s="9">
        <v>4700</v>
      </c>
      <c r="F47" s="39">
        <v>24</v>
      </c>
      <c r="G47" s="32">
        <f t="shared" si="16"/>
        <v>24</v>
      </c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7"/>
      <c r="S47" s="9"/>
      <c r="T47" s="48"/>
      <c r="U47" s="48"/>
      <c r="V47" s="48"/>
      <c r="W47" s="48"/>
      <c r="X47" s="48"/>
      <c r="Y47" s="48">
        <f t="shared" si="17"/>
        <v>0</v>
      </c>
      <c r="Z47" s="9">
        <f t="shared" si="18"/>
        <v>0</v>
      </c>
      <c r="AA47" s="48"/>
      <c r="AB47" s="48"/>
      <c r="AC47" s="48"/>
      <c r="AD47" s="60"/>
      <c r="AE47" s="61"/>
      <c r="AF47" s="62"/>
    </row>
    <row r="48" s="27" customFormat="1" ht="30" customHeight="1" spans="1:32">
      <c r="A48" s="7">
        <v>47</v>
      </c>
      <c r="B48" s="40"/>
      <c r="C48" s="41" t="s">
        <v>110</v>
      </c>
      <c r="D48" s="36" t="s">
        <v>67</v>
      </c>
      <c r="E48" s="9">
        <v>4000</v>
      </c>
      <c r="F48" s="7">
        <v>26</v>
      </c>
      <c r="G48" s="32">
        <f t="shared" si="16"/>
        <v>26</v>
      </c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7"/>
      <c r="S48" s="9"/>
      <c r="T48" s="48"/>
      <c r="U48" s="48"/>
      <c r="V48" s="48"/>
      <c r="W48" s="48"/>
      <c r="X48" s="48"/>
      <c r="Y48" s="48">
        <f t="shared" si="17"/>
        <v>0</v>
      </c>
      <c r="Z48" s="9">
        <f t="shared" si="18"/>
        <v>0</v>
      </c>
      <c r="AA48" s="48"/>
      <c r="AB48" s="48"/>
      <c r="AC48" s="48"/>
      <c r="AD48" s="60"/>
      <c r="AE48" s="61"/>
      <c r="AF48" s="62"/>
    </row>
    <row r="49" s="27" customFormat="1" ht="30" customHeight="1" spans="1:32">
      <c r="A49" s="7">
        <v>48</v>
      </c>
      <c r="B49" s="40"/>
      <c r="C49" s="41" t="s">
        <v>114</v>
      </c>
      <c r="D49" s="36" t="s">
        <v>67</v>
      </c>
      <c r="E49" s="9">
        <v>4000</v>
      </c>
      <c r="F49" s="7">
        <v>26</v>
      </c>
      <c r="G49" s="32">
        <f t="shared" si="16"/>
        <v>26</v>
      </c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7"/>
      <c r="S49" s="9"/>
      <c r="T49" s="48"/>
      <c r="U49" s="48"/>
      <c r="V49" s="48"/>
      <c r="W49" s="48"/>
      <c r="X49" s="48"/>
      <c r="Y49" s="48">
        <f t="shared" si="17"/>
        <v>0</v>
      </c>
      <c r="Z49" s="9">
        <f t="shared" si="18"/>
        <v>0</v>
      </c>
      <c r="AA49" s="48"/>
      <c r="AB49" s="48"/>
      <c r="AC49" s="48"/>
      <c r="AD49" s="60"/>
      <c r="AE49" s="61"/>
      <c r="AF49" s="62"/>
    </row>
    <row r="50" s="27" customFormat="1" ht="30" customHeight="1" spans="1:32">
      <c r="A50" s="7">
        <v>49</v>
      </c>
      <c r="B50" s="40"/>
      <c r="C50" s="41" t="s">
        <v>117</v>
      </c>
      <c r="D50" s="36" t="s">
        <v>67</v>
      </c>
      <c r="E50" s="9">
        <v>4200</v>
      </c>
      <c r="F50" s="7">
        <v>26</v>
      </c>
      <c r="G50" s="32">
        <f t="shared" si="16"/>
        <v>11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7"/>
      <c r="S50" s="9"/>
      <c r="T50" s="48"/>
      <c r="U50" s="48"/>
      <c r="V50" s="48"/>
      <c r="W50" s="48"/>
      <c r="X50" s="48">
        <v>15</v>
      </c>
      <c r="Y50" s="48">
        <f t="shared" si="17"/>
        <v>2423.07692307692</v>
      </c>
      <c r="Z50" s="9">
        <f t="shared" si="18"/>
        <v>2423.07692307692</v>
      </c>
      <c r="AA50" s="48"/>
      <c r="AB50" s="48"/>
      <c r="AC50" s="48"/>
      <c r="AD50" s="60"/>
      <c r="AE50" s="61"/>
      <c r="AF50" s="62"/>
    </row>
    <row r="51" s="27" customFormat="1" ht="30" customHeight="1" spans="1:32">
      <c r="A51" s="7">
        <v>50</v>
      </c>
      <c r="B51" s="40"/>
      <c r="C51" s="41" t="s">
        <v>120</v>
      </c>
      <c r="D51" s="36" t="s">
        <v>67</v>
      </c>
      <c r="E51" s="9">
        <v>4200</v>
      </c>
      <c r="F51" s="7">
        <v>26</v>
      </c>
      <c r="G51" s="32">
        <f t="shared" si="16"/>
        <v>5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7"/>
      <c r="S51" s="9"/>
      <c r="T51" s="48"/>
      <c r="U51" s="48"/>
      <c r="V51" s="48"/>
      <c r="W51" s="48"/>
      <c r="X51" s="48">
        <v>21</v>
      </c>
      <c r="Y51" s="48">
        <f t="shared" si="17"/>
        <v>3392.30769230769</v>
      </c>
      <c r="Z51" s="9">
        <f t="shared" si="18"/>
        <v>3392.30769230769</v>
      </c>
      <c r="AA51" s="48"/>
      <c r="AB51" s="48"/>
      <c r="AC51" s="48"/>
      <c r="AD51" s="60"/>
      <c r="AE51" s="61"/>
      <c r="AF51" s="62"/>
    </row>
    <row r="52" customHeight="1" spans="26:26">
      <c r="Z52" s="2">
        <f>SUM(Z4:Z51)</f>
        <v>13375.8127289377</v>
      </c>
    </row>
  </sheetData>
  <autoFilter xmlns:etc="http://www.wps.cn/officeDocument/2017/etCustomData" ref="A3:AF52" etc:filterBottomFollowUsedRange="0">
    <extLst/>
  </autoFilter>
  <mergeCells count="21">
    <mergeCell ref="A1:AC1"/>
    <mergeCell ref="H2:K2"/>
    <mergeCell ref="M2:O2"/>
    <mergeCell ref="R2:S2"/>
    <mergeCell ref="T2:U2"/>
    <mergeCell ref="V2:W2"/>
    <mergeCell ref="X2:Y2"/>
    <mergeCell ref="AB2:AC2"/>
    <mergeCell ref="A2:A3"/>
    <mergeCell ref="B2:B3"/>
    <mergeCell ref="C2:C3"/>
    <mergeCell ref="D2:D3"/>
    <mergeCell ref="E2:E3"/>
    <mergeCell ref="F2:F3"/>
    <mergeCell ref="G2:G3"/>
    <mergeCell ref="L2:L3"/>
    <mergeCell ref="Q2:Q3"/>
    <mergeCell ref="Z2:Z3"/>
    <mergeCell ref="AA2:AA3"/>
    <mergeCell ref="AD2:AD3"/>
    <mergeCell ref="AE1:AE3"/>
  </mergeCells>
  <dataValidations count="1">
    <dataValidation allowBlank="1" showInputMessage="1" showErrorMessage="1" sqref="AF15 B4:B13"/>
  </dataValidations>
  <pageMargins left="0.7" right="0.7" top="0.75" bottom="0.75" header="0.3" footer="0.3"/>
  <pageSetup paperSize="9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 summaryRight="0"/>
  </sheetPr>
  <dimension ref="A1:AC40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A1" sqref="A1:AA1"/>
    </sheetView>
  </sheetViews>
  <sheetFormatPr defaultColWidth="9" defaultRowHeight="13.5" customHeight="1"/>
  <cols>
    <col min="1" max="1" width="6" style="2" customWidth="1"/>
    <col min="2" max="2" width="12.5" style="2" customWidth="1"/>
    <col min="3" max="3" width="9.83333333333333" style="2" customWidth="1"/>
    <col min="4" max="4" width="10.1666666666667" style="2" customWidth="1"/>
    <col min="5" max="5" width="9.16666666666667" style="2" customWidth="1"/>
    <col min="6" max="6" width="6.83333333333333" style="2" customWidth="1"/>
    <col min="7" max="7" width="7" style="2" customWidth="1"/>
    <col min="8" max="8" width="7.16666666666667" style="2" customWidth="1" outlineLevel="1"/>
    <col min="9" max="9" width="5.33333333333333" style="2" customWidth="1" outlineLevel="1"/>
    <col min="10" max="10" width="7" style="2" customWidth="1" outlineLevel="1"/>
    <col min="11" max="11" width="8.16666666666667" style="2" customWidth="1" outlineLevel="1"/>
    <col min="12" max="12" width="10" style="2" customWidth="1" outlineLevel="1"/>
    <col min="13" max="13" width="6.33333333333333" style="2" customWidth="1" outlineLevel="1"/>
    <col min="14" max="14" width="9.5" style="2" customWidth="1" outlineLevel="1"/>
    <col min="15" max="15" width="8.16666666666667" style="2" customWidth="1" outlineLevel="1"/>
    <col min="16" max="16" width="7.5" style="2" customWidth="1" outlineLevel="1"/>
    <col min="17" max="17" width="7.83333333333333" style="2" customWidth="1" outlineLevel="1"/>
    <col min="18" max="18" width="6.83333333333333" style="2" customWidth="1" outlineLevel="1"/>
    <col min="19" max="19" width="12.8333333333333" style="2" customWidth="1" outlineLevel="1"/>
    <col min="20" max="20" width="5.83333333333333" style="2" customWidth="1" outlineLevel="1"/>
    <col min="21" max="21" width="7.83333333333333" style="2" customWidth="1" outlineLevel="1"/>
    <col min="22" max="23" width="6.5" style="2" customWidth="1" outlineLevel="1"/>
    <col min="24" max="24" width="9.33333333333333" style="2" customWidth="1"/>
    <col min="25" max="25" width="9" style="2" customWidth="1"/>
    <col min="26" max="26" width="8.33333333333333" style="2" customWidth="1"/>
    <col min="27" max="27" width="10.1666666666667" style="2" customWidth="1"/>
    <col min="28" max="28" width="9.33333333333333" style="2" customWidth="1"/>
    <col min="29" max="29" width="19.5" style="2" customWidth="1"/>
  </cols>
  <sheetData>
    <row r="1" ht="21" customHeight="1" spans="1:29">
      <c r="A1" s="3" t="s">
        <v>503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22" t="s">
        <v>480</v>
      </c>
    </row>
    <row r="2" ht="21" customHeight="1" spans="1:29">
      <c r="A2" s="5" t="s">
        <v>2</v>
      </c>
      <c r="B2" s="5" t="s">
        <v>364</v>
      </c>
      <c r="C2" s="5" t="s">
        <v>4</v>
      </c>
      <c r="D2" s="5" t="s">
        <v>3</v>
      </c>
      <c r="E2" s="5" t="s">
        <v>482</v>
      </c>
      <c r="F2" s="6" t="s">
        <v>483</v>
      </c>
      <c r="G2" s="6" t="s">
        <v>484</v>
      </c>
      <c r="H2" s="5" t="s">
        <v>485</v>
      </c>
      <c r="I2" s="5"/>
      <c r="J2" s="5"/>
      <c r="K2" s="5"/>
      <c r="L2" s="5" t="s">
        <v>486</v>
      </c>
      <c r="M2" s="5" t="s">
        <v>487</v>
      </c>
      <c r="N2" s="5"/>
      <c r="O2" s="5"/>
      <c r="P2" s="5"/>
      <c r="Q2" s="5" t="s">
        <v>486</v>
      </c>
      <c r="R2" s="5" t="s">
        <v>488</v>
      </c>
      <c r="S2" s="5"/>
      <c r="T2" s="5" t="s">
        <v>489</v>
      </c>
      <c r="U2" s="5"/>
      <c r="V2" s="5" t="s">
        <v>490</v>
      </c>
      <c r="W2" s="5"/>
      <c r="X2" s="5" t="s">
        <v>492</v>
      </c>
      <c r="Y2" s="5" t="s">
        <v>493</v>
      </c>
      <c r="Z2" s="5" t="s">
        <v>494</v>
      </c>
      <c r="AA2" s="5"/>
      <c r="AB2" s="5" t="s">
        <v>495</v>
      </c>
      <c r="AC2" s="22"/>
    </row>
    <row r="3" ht="27.95" customHeight="1" spans="1:29">
      <c r="A3" s="5"/>
      <c r="B3" s="5"/>
      <c r="C3" s="5"/>
      <c r="D3" s="5"/>
      <c r="E3" s="5"/>
      <c r="F3" s="6"/>
      <c r="G3" s="6"/>
      <c r="H3" s="6" t="s">
        <v>496</v>
      </c>
      <c r="I3" s="6" t="s">
        <v>497</v>
      </c>
      <c r="J3" s="6" t="s">
        <v>498</v>
      </c>
      <c r="K3" s="6" t="s">
        <v>499</v>
      </c>
      <c r="L3" s="5"/>
      <c r="M3" s="17" t="s">
        <v>500</v>
      </c>
      <c r="N3" s="5" t="s">
        <v>486</v>
      </c>
      <c r="O3" s="17" t="s">
        <v>501</v>
      </c>
      <c r="P3" s="5" t="s">
        <v>486</v>
      </c>
      <c r="Q3" s="5"/>
      <c r="R3" s="5" t="s">
        <v>502</v>
      </c>
      <c r="S3" s="5" t="s">
        <v>486</v>
      </c>
      <c r="T3" s="5" t="s">
        <v>502</v>
      </c>
      <c r="U3" s="5" t="s">
        <v>486</v>
      </c>
      <c r="V3" s="5" t="s">
        <v>502</v>
      </c>
      <c r="W3" s="5" t="s">
        <v>486</v>
      </c>
      <c r="X3" s="5"/>
      <c r="Y3" s="5"/>
      <c r="Z3" s="5" t="s">
        <v>502</v>
      </c>
      <c r="AA3" s="5" t="s">
        <v>18</v>
      </c>
      <c r="AB3" s="5"/>
      <c r="AC3" s="22"/>
    </row>
    <row r="4" ht="20.25" customHeight="1" spans="1:29">
      <c r="A4" s="7">
        <v>1</v>
      </c>
      <c r="B4" s="8">
        <v>200708011</v>
      </c>
      <c r="C4" s="7" t="s">
        <v>437</v>
      </c>
      <c r="D4" s="9" t="s">
        <v>52</v>
      </c>
      <c r="E4" s="9">
        <v>9300</v>
      </c>
      <c r="F4" s="7">
        <v>21.75</v>
      </c>
      <c r="G4" s="7">
        <v>18.5</v>
      </c>
      <c r="H4" s="9">
        <v>0</v>
      </c>
      <c r="I4" s="9"/>
      <c r="J4" s="9"/>
      <c r="K4" s="9"/>
      <c r="L4" s="9">
        <f t="shared" ref="L4:L36" si="0">ROUND((H4*20+I4*50+E4/F4*J4+E4/F4*K4*2),2)</f>
        <v>0</v>
      </c>
      <c r="M4" s="9"/>
      <c r="N4" s="9">
        <f t="shared" ref="N4:N36" si="1">ROUND((E4/F4*M4),2)</f>
        <v>0</v>
      </c>
      <c r="O4" s="9"/>
      <c r="P4" s="9">
        <f>ROUND((O4*50),2)</f>
        <v>0</v>
      </c>
      <c r="Q4" s="9">
        <f t="shared" ref="Q4:Q9" si="2">ROUND((N4+P4),2)</f>
        <v>0</v>
      </c>
      <c r="R4" s="9"/>
      <c r="S4" s="9">
        <f t="shared" ref="S4:S9" si="3">E4/F4*R4</f>
        <v>0</v>
      </c>
      <c r="T4" s="9"/>
      <c r="U4" s="9">
        <f t="shared" ref="U4:U9" si="4">ROUND((E4/F4*T4*20%),2)</f>
        <v>0</v>
      </c>
      <c r="V4" s="9"/>
      <c r="W4" s="9">
        <f t="shared" ref="W4:W36" si="5">ROUND((E4/F4*V4*2),2)</f>
        <v>0</v>
      </c>
      <c r="X4" s="9">
        <f t="shared" ref="X4:X9" si="6">ROUND((L4+Q4+S4+U4+W4),2)</f>
        <v>0</v>
      </c>
      <c r="Y4" s="9">
        <f t="shared" ref="Y4:Y9" si="7">IF(X4&gt;0,0,200)</f>
        <v>200</v>
      </c>
      <c r="Z4" s="9"/>
      <c r="AA4" s="9">
        <f t="shared" ref="AA4:AA36" si="8">ROUND((E4/F4*Z4),2)</f>
        <v>0</v>
      </c>
      <c r="AB4" s="9"/>
      <c r="AC4" s="19"/>
    </row>
    <row r="5" ht="20.25" customHeight="1" spans="1:29">
      <c r="A5" s="7">
        <v>2</v>
      </c>
      <c r="B5" s="8">
        <v>210315001</v>
      </c>
      <c r="C5" s="7" t="s">
        <v>461</v>
      </c>
      <c r="D5" s="9" t="s">
        <v>52</v>
      </c>
      <c r="E5" s="9">
        <v>4500</v>
      </c>
      <c r="F5" s="7">
        <v>21.75</v>
      </c>
      <c r="G5" s="7">
        <v>22</v>
      </c>
      <c r="H5" s="9"/>
      <c r="I5" s="9"/>
      <c r="J5" s="9"/>
      <c r="K5" s="9"/>
      <c r="L5" s="9">
        <f t="shared" si="0"/>
        <v>0</v>
      </c>
      <c r="M5" s="9"/>
      <c r="N5" s="9">
        <f t="shared" si="1"/>
        <v>0</v>
      </c>
      <c r="O5" s="9"/>
      <c r="P5" s="9"/>
      <c r="Q5" s="9">
        <f t="shared" si="2"/>
        <v>0</v>
      </c>
      <c r="R5" s="9"/>
      <c r="S5" s="9">
        <f t="shared" si="3"/>
        <v>0</v>
      </c>
      <c r="T5" s="9"/>
      <c r="U5" s="9">
        <f t="shared" si="4"/>
        <v>0</v>
      </c>
      <c r="V5" s="9"/>
      <c r="W5" s="9">
        <f t="shared" si="5"/>
        <v>0</v>
      </c>
      <c r="X5" s="9">
        <f t="shared" si="6"/>
        <v>0</v>
      </c>
      <c r="Y5" s="9">
        <f t="shared" si="7"/>
        <v>200</v>
      </c>
      <c r="Z5" s="9"/>
      <c r="AA5" s="9">
        <f t="shared" si="8"/>
        <v>0</v>
      </c>
      <c r="AB5" s="9"/>
      <c r="AC5" s="19"/>
    </row>
    <row r="6" ht="20.25" customHeight="1" spans="1:29">
      <c r="A6" s="7">
        <v>4</v>
      </c>
      <c r="B6" s="8" t="s">
        <v>504</v>
      </c>
      <c r="C6" s="7" t="s">
        <v>505</v>
      </c>
      <c r="D6" s="9" t="s">
        <v>506</v>
      </c>
      <c r="E6" s="9">
        <v>6500</v>
      </c>
      <c r="F6" s="7">
        <v>21.75</v>
      </c>
      <c r="G6" s="7">
        <v>21</v>
      </c>
      <c r="H6" s="9"/>
      <c r="I6" s="9"/>
      <c r="J6" s="9"/>
      <c r="K6" s="9"/>
      <c r="L6" s="9">
        <f t="shared" si="0"/>
        <v>0</v>
      </c>
      <c r="M6" s="9">
        <v>0</v>
      </c>
      <c r="N6" s="9">
        <f t="shared" si="1"/>
        <v>0</v>
      </c>
      <c r="O6" s="9">
        <v>0</v>
      </c>
      <c r="P6" s="9">
        <f>ROUND((O6*50),2)</f>
        <v>0</v>
      </c>
      <c r="Q6" s="9">
        <f t="shared" si="2"/>
        <v>0</v>
      </c>
      <c r="R6" s="9"/>
      <c r="S6" s="9">
        <f t="shared" si="3"/>
        <v>0</v>
      </c>
      <c r="T6" s="9"/>
      <c r="U6" s="9">
        <f t="shared" si="4"/>
        <v>0</v>
      </c>
      <c r="V6" s="9"/>
      <c r="W6" s="9">
        <f t="shared" si="5"/>
        <v>0</v>
      </c>
      <c r="X6" s="9">
        <f t="shared" si="6"/>
        <v>0</v>
      </c>
      <c r="Y6" s="9">
        <f t="shared" si="7"/>
        <v>200</v>
      </c>
      <c r="Z6" s="9"/>
      <c r="AA6" s="9">
        <f t="shared" si="8"/>
        <v>0</v>
      </c>
      <c r="AB6" s="9"/>
      <c r="AC6" s="19"/>
    </row>
    <row r="7" ht="20.25" customHeight="1" spans="1:29">
      <c r="A7" s="7">
        <v>5</v>
      </c>
      <c r="B7" s="8">
        <v>200603008</v>
      </c>
      <c r="C7" s="7" t="s">
        <v>440</v>
      </c>
      <c r="D7" s="9" t="s">
        <v>507</v>
      </c>
      <c r="E7" s="9">
        <v>5200</v>
      </c>
      <c r="F7" s="7">
        <v>21.75</v>
      </c>
      <c r="G7" s="7">
        <v>21.5</v>
      </c>
      <c r="H7" s="9"/>
      <c r="I7" s="9"/>
      <c r="J7" s="9"/>
      <c r="K7" s="9"/>
      <c r="L7" s="9">
        <f t="shared" si="0"/>
        <v>0</v>
      </c>
      <c r="M7" s="9"/>
      <c r="N7" s="9">
        <f t="shared" si="1"/>
        <v>0</v>
      </c>
      <c r="O7" s="9"/>
      <c r="P7" s="9">
        <f>ROUND((O7*50),2)</f>
        <v>0</v>
      </c>
      <c r="Q7" s="9">
        <f t="shared" si="2"/>
        <v>0</v>
      </c>
      <c r="R7" s="9"/>
      <c r="S7" s="9">
        <f t="shared" si="3"/>
        <v>0</v>
      </c>
      <c r="T7" s="9"/>
      <c r="U7" s="9">
        <f t="shared" si="4"/>
        <v>0</v>
      </c>
      <c r="V7" s="9"/>
      <c r="W7" s="9">
        <f t="shared" si="5"/>
        <v>0</v>
      </c>
      <c r="X7" s="9">
        <f t="shared" si="6"/>
        <v>0</v>
      </c>
      <c r="Y7" s="9">
        <f t="shared" si="7"/>
        <v>200</v>
      </c>
      <c r="Z7" s="9"/>
      <c r="AA7" s="9">
        <f t="shared" si="8"/>
        <v>0</v>
      </c>
      <c r="AB7" s="9"/>
      <c r="AC7" s="19"/>
    </row>
    <row r="8" s="1" customFormat="1" ht="20.25" customHeight="1" spans="1:29">
      <c r="A8" s="7">
        <v>6</v>
      </c>
      <c r="B8" s="8">
        <v>200611009</v>
      </c>
      <c r="C8" s="7" t="s">
        <v>209</v>
      </c>
      <c r="D8" s="9" t="s">
        <v>165</v>
      </c>
      <c r="E8" s="9">
        <v>5800</v>
      </c>
      <c r="F8" s="7">
        <v>21.75</v>
      </c>
      <c r="G8" s="7">
        <v>17</v>
      </c>
      <c r="H8" s="9"/>
      <c r="I8" s="9"/>
      <c r="J8" s="9"/>
      <c r="K8" s="9"/>
      <c r="L8" s="9">
        <f t="shared" si="0"/>
        <v>0</v>
      </c>
      <c r="M8" s="9"/>
      <c r="N8" s="9">
        <f t="shared" si="1"/>
        <v>0</v>
      </c>
      <c r="O8" s="9"/>
      <c r="P8" s="9">
        <f>ROUND((O8*50),2)</f>
        <v>0</v>
      </c>
      <c r="Q8" s="9">
        <f t="shared" si="2"/>
        <v>0</v>
      </c>
      <c r="R8" s="9"/>
      <c r="S8" s="9">
        <f t="shared" si="3"/>
        <v>0</v>
      </c>
      <c r="T8" s="9"/>
      <c r="U8" s="9">
        <f t="shared" si="4"/>
        <v>0</v>
      </c>
      <c r="V8" s="9"/>
      <c r="W8" s="9">
        <f t="shared" si="5"/>
        <v>0</v>
      </c>
      <c r="X8" s="9">
        <f t="shared" si="6"/>
        <v>0</v>
      </c>
      <c r="Y8" s="9">
        <f t="shared" si="7"/>
        <v>200</v>
      </c>
      <c r="Z8" s="9"/>
      <c r="AA8" s="9">
        <f t="shared" si="8"/>
        <v>0</v>
      </c>
      <c r="AB8" s="9"/>
      <c r="AC8" s="19"/>
    </row>
    <row r="9" ht="20.25" customHeight="1" spans="1:29">
      <c r="A9" s="7">
        <v>7</v>
      </c>
      <c r="B9" s="8">
        <v>200723001</v>
      </c>
      <c r="C9" s="7" t="s">
        <v>455</v>
      </c>
      <c r="D9" s="9" t="s">
        <v>165</v>
      </c>
      <c r="E9" s="9">
        <v>5800</v>
      </c>
      <c r="F9" s="7">
        <v>21.75</v>
      </c>
      <c r="G9" s="7">
        <v>14.5</v>
      </c>
      <c r="H9" s="9"/>
      <c r="I9" s="9"/>
      <c r="J9" s="9"/>
      <c r="K9" s="9"/>
      <c r="L9" s="9">
        <f t="shared" si="0"/>
        <v>0</v>
      </c>
      <c r="M9" s="9"/>
      <c r="N9" s="9">
        <f t="shared" si="1"/>
        <v>0</v>
      </c>
      <c r="O9" s="9"/>
      <c r="P9" s="9">
        <f>ROUND((O9*50),2)</f>
        <v>0</v>
      </c>
      <c r="Q9" s="9">
        <f t="shared" si="2"/>
        <v>0</v>
      </c>
      <c r="R9" s="9"/>
      <c r="S9" s="9">
        <f t="shared" si="3"/>
        <v>0</v>
      </c>
      <c r="T9" s="9"/>
      <c r="U9" s="9">
        <f t="shared" si="4"/>
        <v>0</v>
      </c>
      <c r="V9" s="9"/>
      <c r="W9" s="9">
        <f t="shared" si="5"/>
        <v>0</v>
      </c>
      <c r="X9" s="9">
        <f t="shared" si="6"/>
        <v>0</v>
      </c>
      <c r="Y9" s="9">
        <f t="shared" si="7"/>
        <v>200</v>
      </c>
      <c r="Z9" s="9"/>
      <c r="AA9" s="18">
        <f t="shared" si="8"/>
        <v>0</v>
      </c>
      <c r="AB9" s="9"/>
      <c r="AC9" s="23"/>
    </row>
    <row r="10" ht="20.25" customHeight="1" spans="1:29">
      <c r="A10" s="7">
        <v>8</v>
      </c>
      <c r="B10" s="8">
        <v>220608001</v>
      </c>
      <c r="C10" s="10" t="s">
        <v>215</v>
      </c>
      <c r="D10" s="9" t="s">
        <v>478</v>
      </c>
      <c r="E10" s="9">
        <v>3500</v>
      </c>
      <c r="F10" s="7">
        <v>21.75</v>
      </c>
      <c r="G10" s="7">
        <v>21</v>
      </c>
      <c r="H10" s="9"/>
      <c r="I10" s="9"/>
      <c r="J10" s="9"/>
      <c r="K10" s="9"/>
      <c r="L10" s="9">
        <f t="shared" si="0"/>
        <v>0</v>
      </c>
      <c r="M10" s="9"/>
      <c r="N10" s="9">
        <f t="shared" si="1"/>
        <v>0</v>
      </c>
      <c r="O10" s="9"/>
      <c r="P10" s="9"/>
      <c r="Q10" s="9"/>
      <c r="R10" s="9"/>
      <c r="S10" s="9"/>
      <c r="T10" s="9"/>
      <c r="U10" s="9"/>
      <c r="V10" s="9"/>
      <c r="W10" s="9">
        <f t="shared" si="5"/>
        <v>0</v>
      </c>
      <c r="X10" s="9"/>
      <c r="Y10" s="9"/>
      <c r="Z10" s="9"/>
      <c r="AA10" s="9">
        <f t="shared" si="8"/>
        <v>0</v>
      </c>
      <c r="AB10" s="9"/>
      <c r="AC10" s="19"/>
    </row>
    <row r="11" ht="20.25" customHeight="1" spans="1:29">
      <c r="A11" s="7">
        <v>9</v>
      </c>
      <c r="B11" s="8">
        <v>190328217</v>
      </c>
      <c r="C11" s="7" t="s">
        <v>450</v>
      </c>
      <c r="D11" s="9" t="s">
        <v>507</v>
      </c>
      <c r="E11" s="9">
        <v>6000</v>
      </c>
      <c r="F11" s="7">
        <v>26</v>
      </c>
      <c r="G11" s="7">
        <v>26</v>
      </c>
      <c r="H11" s="9"/>
      <c r="I11" s="9"/>
      <c r="J11" s="9"/>
      <c r="K11" s="9"/>
      <c r="L11" s="9">
        <f t="shared" si="0"/>
        <v>0</v>
      </c>
      <c r="M11" s="9"/>
      <c r="N11" s="9">
        <f t="shared" si="1"/>
        <v>0</v>
      </c>
      <c r="O11" s="9"/>
      <c r="P11" s="9">
        <f t="shared" ref="P11:P17" si="9">ROUND((O11*50),2)</f>
        <v>0</v>
      </c>
      <c r="Q11" s="9">
        <f t="shared" ref="Q11:Q16" si="10">ROUND((N11+P11),2)</f>
        <v>0</v>
      </c>
      <c r="R11" s="9"/>
      <c r="S11" s="9">
        <f t="shared" ref="S11:S19" si="11">E11/F11*R11</f>
        <v>0</v>
      </c>
      <c r="T11" s="9"/>
      <c r="U11" s="9">
        <f t="shared" ref="U11:U19" si="12">ROUND((E11/F11*T11*20%),2)</f>
        <v>0</v>
      </c>
      <c r="V11" s="9"/>
      <c r="W11" s="9">
        <f t="shared" si="5"/>
        <v>0</v>
      </c>
      <c r="X11" s="9">
        <f t="shared" ref="X11:X19" si="13">ROUND((L11+Q11+S11+U11+W11),2)</f>
        <v>0</v>
      </c>
      <c r="Y11" s="9"/>
      <c r="Z11" s="9"/>
      <c r="AA11" s="9">
        <f t="shared" si="8"/>
        <v>0</v>
      </c>
      <c r="AB11" s="9"/>
      <c r="AC11" s="19"/>
    </row>
    <row r="12" ht="20.25" customHeight="1" spans="1:29">
      <c r="A12" s="7">
        <v>10</v>
      </c>
      <c r="B12" s="8">
        <v>190802001</v>
      </c>
      <c r="C12" s="7" t="s">
        <v>508</v>
      </c>
      <c r="D12" s="9" t="s">
        <v>507</v>
      </c>
      <c r="E12" s="9">
        <v>6210</v>
      </c>
      <c r="F12" s="7">
        <v>26</v>
      </c>
      <c r="G12" s="7">
        <v>22</v>
      </c>
      <c r="H12" s="9"/>
      <c r="I12" s="9"/>
      <c r="J12" s="9"/>
      <c r="K12" s="9"/>
      <c r="L12" s="9">
        <f t="shared" si="0"/>
        <v>0</v>
      </c>
      <c r="M12" s="9"/>
      <c r="N12" s="9">
        <f t="shared" si="1"/>
        <v>0</v>
      </c>
      <c r="O12" s="9"/>
      <c r="P12" s="9">
        <f t="shared" si="9"/>
        <v>0</v>
      </c>
      <c r="Q12" s="9">
        <f t="shared" si="10"/>
        <v>0</v>
      </c>
      <c r="R12" s="9"/>
      <c r="S12" s="9">
        <f t="shared" si="11"/>
        <v>0</v>
      </c>
      <c r="T12" s="9"/>
      <c r="U12" s="9">
        <f t="shared" si="12"/>
        <v>0</v>
      </c>
      <c r="V12" s="9"/>
      <c r="W12" s="9">
        <f t="shared" si="5"/>
        <v>0</v>
      </c>
      <c r="X12" s="9">
        <f t="shared" si="13"/>
        <v>0</v>
      </c>
      <c r="Y12" s="9"/>
      <c r="Z12" s="9"/>
      <c r="AA12" s="9">
        <f t="shared" si="8"/>
        <v>0</v>
      </c>
      <c r="AB12" s="9"/>
      <c r="AC12" s="19"/>
    </row>
    <row r="13" ht="20.25" customHeight="1" spans="1:29">
      <c r="A13" s="7">
        <v>11</v>
      </c>
      <c r="B13" s="8">
        <v>200508003</v>
      </c>
      <c r="C13" s="7" t="s">
        <v>71</v>
      </c>
      <c r="D13" s="9" t="s">
        <v>507</v>
      </c>
      <c r="E13" s="11">
        <v>4710</v>
      </c>
      <c r="F13" s="7">
        <v>26</v>
      </c>
      <c r="G13" s="7">
        <v>26</v>
      </c>
      <c r="H13" s="9"/>
      <c r="I13" s="9"/>
      <c r="J13" s="9"/>
      <c r="K13" s="9"/>
      <c r="L13" s="9">
        <f t="shared" si="0"/>
        <v>0</v>
      </c>
      <c r="M13" s="18"/>
      <c r="N13" s="18">
        <f t="shared" si="1"/>
        <v>0</v>
      </c>
      <c r="O13" s="9"/>
      <c r="P13" s="9">
        <f t="shared" si="9"/>
        <v>0</v>
      </c>
      <c r="Q13" s="9">
        <f t="shared" si="10"/>
        <v>0</v>
      </c>
      <c r="R13" s="9"/>
      <c r="S13" s="9">
        <f t="shared" si="11"/>
        <v>0</v>
      </c>
      <c r="T13" s="9"/>
      <c r="U13" s="9">
        <f t="shared" si="12"/>
        <v>0</v>
      </c>
      <c r="V13" s="9"/>
      <c r="W13" s="9">
        <f t="shared" si="5"/>
        <v>0</v>
      </c>
      <c r="X13" s="9">
        <f t="shared" si="13"/>
        <v>0</v>
      </c>
      <c r="Y13" s="9"/>
      <c r="Z13" s="9"/>
      <c r="AA13" s="9">
        <f t="shared" si="8"/>
        <v>0</v>
      </c>
      <c r="AB13" s="9"/>
      <c r="AC13" s="19"/>
    </row>
    <row r="14" ht="20.25" customHeight="1" spans="1:29">
      <c r="A14" s="7">
        <v>12</v>
      </c>
      <c r="B14" s="8">
        <v>200925003</v>
      </c>
      <c r="C14" s="7" t="s">
        <v>457</v>
      </c>
      <c r="D14" s="9" t="s">
        <v>507</v>
      </c>
      <c r="E14" s="12">
        <v>3500</v>
      </c>
      <c r="F14" s="7">
        <v>26</v>
      </c>
      <c r="G14" s="7">
        <v>21</v>
      </c>
      <c r="H14" s="9"/>
      <c r="I14" s="9"/>
      <c r="J14" s="9"/>
      <c r="K14" s="9"/>
      <c r="L14" s="9">
        <f t="shared" si="0"/>
        <v>0</v>
      </c>
      <c r="M14" s="9"/>
      <c r="N14" s="9">
        <f t="shared" si="1"/>
        <v>0</v>
      </c>
      <c r="O14" s="9">
        <v>0</v>
      </c>
      <c r="P14" s="9">
        <f t="shared" si="9"/>
        <v>0</v>
      </c>
      <c r="Q14" s="9">
        <f t="shared" si="10"/>
        <v>0</v>
      </c>
      <c r="R14" s="9"/>
      <c r="S14" s="9">
        <f t="shared" si="11"/>
        <v>0</v>
      </c>
      <c r="T14" s="9"/>
      <c r="U14" s="9">
        <f t="shared" si="12"/>
        <v>0</v>
      </c>
      <c r="V14" s="9"/>
      <c r="W14" s="9">
        <f t="shared" si="5"/>
        <v>0</v>
      </c>
      <c r="X14" s="9">
        <f t="shared" si="13"/>
        <v>0</v>
      </c>
      <c r="Y14" s="9"/>
      <c r="Z14" s="9"/>
      <c r="AA14" s="9">
        <f t="shared" si="8"/>
        <v>0</v>
      </c>
      <c r="AB14" s="9"/>
      <c r="AC14" s="19"/>
    </row>
    <row r="15" ht="20.25" customHeight="1" spans="1:29">
      <c r="A15" s="7">
        <v>13</v>
      </c>
      <c r="B15" s="8">
        <v>211011001</v>
      </c>
      <c r="C15" s="7" t="s">
        <v>509</v>
      </c>
      <c r="D15" s="9" t="s">
        <v>507</v>
      </c>
      <c r="E15" s="9">
        <v>3310</v>
      </c>
      <c r="F15" s="7">
        <v>26</v>
      </c>
      <c r="G15" s="7">
        <v>26</v>
      </c>
      <c r="H15" s="9"/>
      <c r="I15" s="9"/>
      <c r="J15" s="9"/>
      <c r="K15" s="9"/>
      <c r="L15" s="9">
        <f t="shared" si="0"/>
        <v>0</v>
      </c>
      <c r="M15" s="9"/>
      <c r="N15" s="9">
        <f t="shared" si="1"/>
        <v>0</v>
      </c>
      <c r="O15" s="9"/>
      <c r="P15" s="9">
        <f t="shared" si="9"/>
        <v>0</v>
      </c>
      <c r="Q15" s="9">
        <f t="shared" si="10"/>
        <v>0</v>
      </c>
      <c r="R15" s="9"/>
      <c r="S15" s="9">
        <f t="shared" si="11"/>
        <v>0</v>
      </c>
      <c r="T15" s="9"/>
      <c r="U15" s="9">
        <f t="shared" si="12"/>
        <v>0</v>
      </c>
      <c r="V15" s="9"/>
      <c r="W15" s="9">
        <f t="shared" si="5"/>
        <v>0</v>
      </c>
      <c r="X15" s="9">
        <f t="shared" si="13"/>
        <v>0</v>
      </c>
      <c r="Y15" s="9"/>
      <c r="Z15" s="9"/>
      <c r="AA15" s="9">
        <f t="shared" si="8"/>
        <v>0</v>
      </c>
      <c r="AB15" s="9"/>
      <c r="AC15" s="19"/>
    </row>
    <row r="16" ht="20.25" customHeight="1" spans="1:29">
      <c r="A16" s="7">
        <v>14</v>
      </c>
      <c r="B16" s="8">
        <v>220110001</v>
      </c>
      <c r="C16" s="10" t="s">
        <v>212</v>
      </c>
      <c r="D16" s="9" t="s">
        <v>507</v>
      </c>
      <c r="E16" s="9">
        <v>2700</v>
      </c>
      <c r="F16" s="7">
        <v>26</v>
      </c>
      <c r="G16" s="7">
        <v>19</v>
      </c>
      <c r="H16" s="9"/>
      <c r="I16" s="9"/>
      <c r="J16" s="9"/>
      <c r="K16" s="9"/>
      <c r="L16" s="9">
        <f t="shared" si="0"/>
        <v>0</v>
      </c>
      <c r="M16" s="9"/>
      <c r="N16" s="9">
        <f t="shared" si="1"/>
        <v>0</v>
      </c>
      <c r="O16" s="9"/>
      <c r="P16" s="9">
        <f t="shared" si="9"/>
        <v>0</v>
      </c>
      <c r="Q16" s="9">
        <f t="shared" si="10"/>
        <v>0</v>
      </c>
      <c r="R16" s="9"/>
      <c r="S16" s="9">
        <f t="shared" si="11"/>
        <v>0</v>
      </c>
      <c r="T16" s="9"/>
      <c r="U16" s="9">
        <f t="shared" si="12"/>
        <v>0</v>
      </c>
      <c r="V16" s="9"/>
      <c r="W16" s="9">
        <f t="shared" si="5"/>
        <v>0</v>
      </c>
      <c r="X16" s="9">
        <f t="shared" si="13"/>
        <v>0</v>
      </c>
      <c r="Y16" s="9"/>
      <c r="Z16" s="9"/>
      <c r="AA16" s="9">
        <f t="shared" si="8"/>
        <v>0</v>
      </c>
      <c r="AB16" s="9"/>
      <c r="AC16" s="19"/>
    </row>
    <row r="17" ht="20.25" customHeight="1" spans="1:29">
      <c r="A17" s="7">
        <v>15</v>
      </c>
      <c r="B17" s="8">
        <v>220303001</v>
      </c>
      <c r="C17" s="10" t="s">
        <v>105</v>
      </c>
      <c r="D17" s="9" t="s">
        <v>507</v>
      </c>
      <c r="E17" s="9">
        <v>5800</v>
      </c>
      <c r="F17" s="7">
        <v>26</v>
      </c>
      <c r="G17" s="7">
        <v>9</v>
      </c>
      <c r="H17" s="9"/>
      <c r="I17" s="9"/>
      <c r="J17" s="9"/>
      <c r="K17" s="9"/>
      <c r="L17" s="9">
        <f t="shared" si="0"/>
        <v>0</v>
      </c>
      <c r="M17" s="9"/>
      <c r="N17" s="9">
        <f t="shared" si="1"/>
        <v>0</v>
      </c>
      <c r="O17" s="9"/>
      <c r="P17" s="9">
        <f t="shared" si="9"/>
        <v>0</v>
      </c>
      <c r="Q17" s="9"/>
      <c r="R17" s="9"/>
      <c r="S17" s="9">
        <f t="shared" si="11"/>
        <v>0</v>
      </c>
      <c r="T17" s="9"/>
      <c r="U17" s="9">
        <f t="shared" si="12"/>
        <v>0</v>
      </c>
      <c r="V17" s="9"/>
      <c r="W17" s="9">
        <f t="shared" si="5"/>
        <v>0</v>
      </c>
      <c r="X17" s="9">
        <f t="shared" si="13"/>
        <v>0</v>
      </c>
      <c r="Y17" s="9"/>
      <c r="Z17" s="9"/>
      <c r="AA17" s="9">
        <f t="shared" si="8"/>
        <v>0</v>
      </c>
      <c r="AB17" s="9"/>
      <c r="AC17" s="19"/>
    </row>
    <row r="18" ht="20.25" customHeight="1" spans="1:29">
      <c r="A18" s="7">
        <v>16</v>
      </c>
      <c r="B18" s="8">
        <v>220512001</v>
      </c>
      <c r="C18" s="10" t="s">
        <v>459</v>
      </c>
      <c r="D18" s="9" t="s">
        <v>507</v>
      </c>
      <c r="E18" s="9">
        <v>2700</v>
      </c>
      <c r="F18" s="7">
        <v>26</v>
      </c>
      <c r="G18" s="7">
        <v>25</v>
      </c>
      <c r="H18" s="9"/>
      <c r="I18" s="9"/>
      <c r="J18" s="9"/>
      <c r="K18" s="9"/>
      <c r="L18" s="9">
        <f t="shared" si="0"/>
        <v>0</v>
      </c>
      <c r="M18" s="9"/>
      <c r="N18" s="9">
        <f t="shared" si="1"/>
        <v>0</v>
      </c>
      <c r="O18" s="9"/>
      <c r="P18" s="9"/>
      <c r="Q18" s="9"/>
      <c r="R18" s="9"/>
      <c r="S18" s="9">
        <f t="shared" si="11"/>
        <v>0</v>
      </c>
      <c r="T18" s="9"/>
      <c r="U18" s="9">
        <f t="shared" si="12"/>
        <v>0</v>
      </c>
      <c r="V18" s="9"/>
      <c r="W18" s="9">
        <f t="shared" si="5"/>
        <v>0</v>
      </c>
      <c r="X18" s="9">
        <f t="shared" si="13"/>
        <v>0</v>
      </c>
      <c r="Y18" s="9"/>
      <c r="Z18" s="9"/>
      <c r="AA18" s="9">
        <f t="shared" si="8"/>
        <v>0</v>
      </c>
      <c r="AB18" s="9"/>
      <c r="AC18" s="19"/>
    </row>
    <row r="19" ht="20.25" customHeight="1" spans="1:29">
      <c r="A19" s="7">
        <v>17</v>
      </c>
      <c r="B19" s="8">
        <v>220525001</v>
      </c>
      <c r="C19" s="10" t="s">
        <v>510</v>
      </c>
      <c r="D19" s="9" t="s">
        <v>511</v>
      </c>
      <c r="E19" s="9">
        <v>3500</v>
      </c>
      <c r="F19" s="7">
        <v>26</v>
      </c>
      <c r="G19" s="7">
        <v>24.5</v>
      </c>
      <c r="H19" s="9"/>
      <c r="I19" s="9"/>
      <c r="J19" s="9"/>
      <c r="K19" s="9"/>
      <c r="L19" s="9">
        <f t="shared" si="0"/>
        <v>0</v>
      </c>
      <c r="M19" s="9"/>
      <c r="N19" s="9">
        <f t="shared" si="1"/>
        <v>0</v>
      </c>
      <c r="O19" s="9"/>
      <c r="P19" s="9"/>
      <c r="Q19" s="9"/>
      <c r="R19" s="9"/>
      <c r="S19" s="9">
        <f t="shared" si="11"/>
        <v>0</v>
      </c>
      <c r="T19" s="9"/>
      <c r="U19" s="9">
        <f t="shared" si="12"/>
        <v>0</v>
      </c>
      <c r="V19" s="9"/>
      <c r="W19" s="9">
        <f t="shared" si="5"/>
        <v>0</v>
      </c>
      <c r="X19" s="9">
        <f t="shared" si="13"/>
        <v>0</v>
      </c>
      <c r="Y19" s="9"/>
      <c r="Z19" s="9"/>
      <c r="AA19" s="9">
        <f t="shared" si="8"/>
        <v>0</v>
      </c>
      <c r="AB19" s="9"/>
      <c r="AC19" s="19"/>
    </row>
    <row r="20" ht="20.25" customHeight="1" spans="1:29">
      <c r="A20" s="7">
        <v>18</v>
      </c>
      <c r="B20" s="8"/>
      <c r="C20" s="10" t="s">
        <v>189</v>
      </c>
      <c r="D20" s="9" t="s">
        <v>478</v>
      </c>
      <c r="E20" s="9">
        <v>8000</v>
      </c>
      <c r="F20" s="7">
        <v>26</v>
      </c>
      <c r="G20" s="7">
        <v>26</v>
      </c>
      <c r="H20" s="9"/>
      <c r="I20" s="9"/>
      <c r="J20" s="9"/>
      <c r="K20" s="9"/>
      <c r="L20" s="9">
        <f t="shared" si="0"/>
        <v>0</v>
      </c>
      <c r="M20" s="9"/>
      <c r="N20" s="9">
        <f t="shared" si="1"/>
        <v>0</v>
      </c>
      <c r="O20" s="9"/>
      <c r="P20" s="9"/>
      <c r="Q20" s="9"/>
      <c r="R20" s="9"/>
      <c r="S20" s="9"/>
      <c r="T20" s="9"/>
      <c r="U20" s="9"/>
      <c r="V20" s="9"/>
      <c r="W20" s="9">
        <f t="shared" si="5"/>
        <v>0</v>
      </c>
      <c r="X20" s="9"/>
      <c r="Y20" s="9"/>
      <c r="Z20" s="9"/>
      <c r="AA20" s="9">
        <f t="shared" si="8"/>
        <v>0</v>
      </c>
      <c r="AB20" s="9"/>
      <c r="AC20" s="19"/>
    </row>
    <row r="21" ht="20.25" customHeight="1" spans="1:29">
      <c r="A21" s="7">
        <v>19</v>
      </c>
      <c r="B21" s="8"/>
      <c r="C21" s="10" t="s">
        <v>512</v>
      </c>
      <c r="D21" s="9" t="s">
        <v>478</v>
      </c>
      <c r="E21" s="9">
        <v>1500</v>
      </c>
      <c r="F21" s="7">
        <v>30</v>
      </c>
      <c r="G21" s="7"/>
      <c r="H21" s="9"/>
      <c r="I21" s="9"/>
      <c r="J21" s="9"/>
      <c r="K21" s="9"/>
      <c r="L21" s="9">
        <f t="shared" si="0"/>
        <v>0</v>
      </c>
      <c r="M21" s="9"/>
      <c r="N21" s="9">
        <f t="shared" si="1"/>
        <v>0</v>
      </c>
      <c r="O21" s="9"/>
      <c r="P21" s="9">
        <f t="shared" ref="P21:P35" si="14">ROUND((O21*50),2)</f>
        <v>0</v>
      </c>
      <c r="Q21" s="9"/>
      <c r="R21" s="9"/>
      <c r="S21" s="9">
        <f t="shared" ref="S21:S36" si="15">E21/F21*R21</f>
        <v>0</v>
      </c>
      <c r="T21" s="9"/>
      <c r="U21" s="9">
        <f t="shared" ref="U21:U36" si="16">ROUND((E21/F21*T21*20%),2)</f>
        <v>0</v>
      </c>
      <c r="V21" s="9"/>
      <c r="W21" s="9">
        <f t="shared" si="5"/>
        <v>0</v>
      </c>
      <c r="X21" s="9">
        <f t="shared" ref="X21:X36" si="17">ROUND((L21+Q21+S21+U21+W21),2)</f>
        <v>0</v>
      </c>
      <c r="Y21" s="9"/>
      <c r="Z21" s="9"/>
      <c r="AA21" s="9">
        <f t="shared" si="8"/>
        <v>0</v>
      </c>
      <c r="AB21" s="9"/>
      <c r="AC21" s="19"/>
    </row>
    <row r="22" ht="20.25" customHeight="1" spans="1:29">
      <c r="A22" s="7">
        <v>21</v>
      </c>
      <c r="B22" s="8"/>
      <c r="C22" s="10" t="s">
        <v>64</v>
      </c>
      <c r="D22" s="9" t="s">
        <v>52</v>
      </c>
      <c r="E22" s="9">
        <v>4740</v>
      </c>
      <c r="F22" s="7">
        <v>21.75</v>
      </c>
      <c r="G22" s="7">
        <v>1</v>
      </c>
      <c r="H22" s="9"/>
      <c r="I22" s="9"/>
      <c r="J22" s="9"/>
      <c r="K22" s="9"/>
      <c r="L22" s="9">
        <f t="shared" si="0"/>
        <v>0</v>
      </c>
      <c r="M22" s="9"/>
      <c r="N22" s="9">
        <f t="shared" si="1"/>
        <v>0</v>
      </c>
      <c r="O22" s="9"/>
      <c r="P22" s="9">
        <f t="shared" si="14"/>
        <v>0</v>
      </c>
      <c r="Q22" s="9"/>
      <c r="R22" s="9"/>
      <c r="S22" s="9">
        <f t="shared" si="15"/>
        <v>0</v>
      </c>
      <c r="T22" s="9"/>
      <c r="U22" s="9">
        <f t="shared" si="16"/>
        <v>0</v>
      </c>
      <c r="V22" s="9"/>
      <c r="W22" s="9">
        <f t="shared" si="5"/>
        <v>0</v>
      </c>
      <c r="X22" s="9">
        <f t="shared" si="17"/>
        <v>0</v>
      </c>
      <c r="Y22" s="9"/>
      <c r="Z22" s="9"/>
      <c r="AA22" s="9">
        <f t="shared" si="8"/>
        <v>0</v>
      </c>
      <c r="AB22" s="9"/>
      <c r="AC22" s="19"/>
    </row>
    <row r="23" ht="20.25" customHeight="1" spans="1:29">
      <c r="A23" s="7">
        <v>22</v>
      </c>
      <c r="B23" s="8"/>
      <c r="C23" s="10" t="s">
        <v>513</v>
      </c>
      <c r="D23" s="9" t="s">
        <v>514</v>
      </c>
      <c r="E23" s="9">
        <v>3300</v>
      </c>
      <c r="F23" s="7">
        <v>21.75</v>
      </c>
      <c r="G23" s="7">
        <v>17</v>
      </c>
      <c r="H23" s="9"/>
      <c r="I23" s="9"/>
      <c r="J23" s="9"/>
      <c r="K23" s="9"/>
      <c r="L23" s="9">
        <f t="shared" si="0"/>
        <v>0</v>
      </c>
      <c r="M23" s="9"/>
      <c r="N23" s="9">
        <f t="shared" si="1"/>
        <v>0</v>
      </c>
      <c r="O23" s="9"/>
      <c r="P23" s="9">
        <f t="shared" si="14"/>
        <v>0</v>
      </c>
      <c r="Q23" s="9"/>
      <c r="R23" s="9"/>
      <c r="S23" s="9">
        <f t="shared" si="15"/>
        <v>0</v>
      </c>
      <c r="T23" s="9"/>
      <c r="U23" s="9">
        <f t="shared" si="16"/>
        <v>0</v>
      </c>
      <c r="V23" s="9"/>
      <c r="W23" s="9">
        <f t="shared" si="5"/>
        <v>0</v>
      </c>
      <c r="X23" s="9">
        <f t="shared" si="17"/>
        <v>0</v>
      </c>
      <c r="Y23" s="9"/>
      <c r="Z23" s="9"/>
      <c r="AA23" s="9">
        <f t="shared" si="8"/>
        <v>0</v>
      </c>
      <c r="AB23" s="9"/>
      <c r="AC23" s="19"/>
    </row>
    <row r="24" ht="20.25" customHeight="1" spans="1:29">
      <c r="A24" s="7">
        <v>23</v>
      </c>
      <c r="B24" s="8"/>
      <c r="C24" s="10" t="s">
        <v>515</v>
      </c>
      <c r="D24" s="9" t="s">
        <v>511</v>
      </c>
      <c r="E24" s="9">
        <v>100</v>
      </c>
      <c r="F24" s="7">
        <v>26</v>
      </c>
      <c r="G24" s="7"/>
      <c r="H24" s="9"/>
      <c r="I24" s="9"/>
      <c r="J24" s="9"/>
      <c r="K24" s="9"/>
      <c r="L24" s="9">
        <f t="shared" si="0"/>
        <v>0</v>
      </c>
      <c r="M24" s="9"/>
      <c r="N24" s="9">
        <f t="shared" si="1"/>
        <v>0</v>
      </c>
      <c r="O24" s="9"/>
      <c r="P24" s="9">
        <f t="shared" si="14"/>
        <v>0</v>
      </c>
      <c r="Q24" s="9"/>
      <c r="R24" s="9"/>
      <c r="S24" s="9">
        <f t="shared" si="15"/>
        <v>0</v>
      </c>
      <c r="T24" s="9"/>
      <c r="U24" s="9">
        <f t="shared" si="16"/>
        <v>0</v>
      </c>
      <c r="V24" s="9"/>
      <c r="W24" s="9">
        <f t="shared" si="5"/>
        <v>0</v>
      </c>
      <c r="X24" s="9">
        <f t="shared" si="17"/>
        <v>0</v>
      </c>
      <c r="Y24" s="9"/>
      <c r="Z24" s="9"/>
      <c r="AA24" s="9">
        <f t="shared" si="8"/>
        <v>0</v>
      </c>
      <c r="AB24" s="9"/>
      <c r="AC24" s="19"/>
    </row>
    <row r="25" ht="20.25" customHeight="1" spans="1:29">
      <c r="A25" s="7">
        <v>24</v>
      </c>
      <c r="B25" s="8"/>
      <c r="C25" s="10" t="s">
        <v>516</v>
      </c>
      <c r="D25" s="9" t="s">
        <v>507</v>
      </c>
      <c r="E25" s="9">
        <v>2280</v>
      </c>
      <c r="F25" s="7">
        <v>26</v>
      </c>
      <c r="G25" s="7">
        <v>23</v>
      </c>
      <c r="H25" s="9"/>
      <c r="I25" s="9"/>
      <c r="J25" s="9"/>
      <c r="K25" s="9"/>
      <c r="L25" s="9">
        <f t="shared" si="0"/>
        <v>0</v>
      </c>
      <c r="M25" s="9"/>
      <c r="N25" s="9">
        <f t="shared" si="1"/>
        <v>0</v>
      </c>
      <c r="O25" s="9"/>
      <c r="P25" s="9">
        <f t="shared" si="14"/>
        <v>0</v>
      </c>
      <c r="Q25" s="9"/>
      <c r="R25" s="9"/>
      <c r="S25" s="9">
        <f t="shared" si="15"/>
        <v>0</v>
      </c>
      <c r="T25" s="9"/>
      <c r="U25" s="9">
        <f t="shared" si="16"/>
        <v>0</v>
      </c>
      <c r="V25" s="9"/>
      <c r="W25" s="9">
        <f t="shared" si="5"/>
        <v>0</v>
      </c>
      <c r="X25" s="9">
        <f t="shared" si="17"/>
        <v>0</v>
      </c>
      <c r="Y25" s="9"/>
      <c r="Z25" s="9"/>
      <c r="AA25" s="9">
        <f t="shared" si="8"/>
        <v>0</v>
      </c>
      <c r="AB25" s="9"/>
      <c r="AC25" s="19"/>
    </row>
    <row r="26" ht="20.25" customHeight="1" spans="1:29">
      <c r="A26" s="7">
        <v>25</v>
      </c>
      <c r="B26" s="8"/>
      <c r="C26" s="10" t="s">
        <v>517</v>
      </c>
      <c r="D26" s="9" t="s">
        <v>507</v>
      </c>
      <c r="E26" s="9">
        <v>2280</v>
      </c>
      <c r="F26" s="7">
        <v>26</v>
      </c>
      <c r="G26" s="7">
        <v>18</v>
      </c>
      <c r="H26" s="9"/>
      <c r="I26" s="9"/>
      <c r="J26" s="9"/>
      <c r="K26" s="9"/>
      <c r="L26" s="9">
        <f t="shared" si="0"/>
        <v>0</v>
      </c>
      <c r="M26" s="9"/>
      <c r="N26" s="9">
        <f t="shared" si="1"/>
        <v>0</v>
      </c>
      <c r="O26" s="9"/>
      <c r="P26" s="9">
        <f t="shared" si="14"/>
        <v>0</v>
      </c>
      <c r="Q26" s="9"/>
      <c r="R26" s="9"/>
      <c r="S26" s="9">
        <f t="shared" si="15"/>
        <v>0</v>
      </c>
      <c r="T26" s="9"/>
      <c r="U26" s="9">
        <f t="shared" si="16"/>
        <v>0</v>
      </c>
      <c r="V26" s="9"/>
      <c r="W26" s="9">
        <f t="shared" si="5"/>
        <v>0</v>
      </c>
      <c r="X26" s="9">
        <f t="shared" si="17"/>
        <v>0</v>
      </c>
      <c r="Y26" s="9"/>
      <c r="Z26" s="9"/>
      <c r="AA26" s="9">
        <f t="shared" si="8"/>
        <v>0</v>
      </c>
      <c r="AB26" s="9"/>
      <c r="AC26" s="19"/>
    </row>
    <row r="27" ht="20.25" customHeight="1" spans="1:29">
      <c r="A27" s="7">
        <v>26</v>
      </c>
      <c r="B27" s="8"/>
      <c r="C27" s="10" t="s">
        <v>518</v>
      </c>
      <c r="D27" s="9" t="s">
        <v>507</v>
      </c>
      <c r="E27" s="9">
        <v>2280</v>
      </c>
      <c r="F27" s="7">
        <v>26</v>
      </c>
      <c r="G27" s="7">
        <v>10</v>
      </c>
      <c r="H27" s="9"/>
      <c r="I27" s="9"/>
      <c r="J27" s="9"/>
      <c r="K27" s="9"/>
      <c r="L27" s="9">
        <f t="shared" si="0"/>
        <v>0</v>
      </c>
      <c r="M27" s="9"/>
      <c r="N27" s="9">
        <f t="shared" si="1"/>
        <v>0</v>
      </c>
      <c r="O27" s="9"/>
      <c r="P27" s="9">
        <f t="shared" si="14"/>
        <v>0</v>
      </c>
      <c r="Q27" s="9"/>
      <c r="R27" s="9"/>
      <c r="S27" s="9">
        <f t="shared" si="15"/>
        <v>0</v>
      </c>
      <c r="T27" s="9"/>
      <c r="U27" s="9">
        <f t="shared" si="16"/>
        <v>0</v>
      </c>
      <c r="V27" s="9"/>
      <c r="W27" s="9">
        <f t="shared" si="5"/>
        <v>0</v>
      </c>
      <c r="X27" s="9">
        <f t="shared" si="17"/>
        <v>0</v>
      </c>
      <c r="Y27" s="9"/>
      <c r="Z27" s="9"/>
      <c r="AA27" s="9">
        <f t="shared" si="8"/>
        <v>0</v>
      </c>
      <c r="AB27" s="9"/>
      <c r="AC27" s="19"/>
    </row>
    <row r="28" ht="20.25" customHeight="1" spans="1:29">
      <c r="A28" s="7">
        <v>27</v>
      </c>
      <c r="B28" s="8"/>
      <c r="C28" s="10" t="s">
        <v>519</v>
      </c>
      <c r="D28" s="9" t="s">
        <v>507</v>
      </c>
      <c r="E28" s="9">
        <v>2280</v>
      </c>
      <c r="F28" s="7">
        <v>26</v>
      </c>
      <c r="G28" s="7">
        <v>22</v>
      </c>
      <c r="H28" s="9"/>
      <c r="I28" s="9"/>
      <c r="J28" s="9"/>
      <c r="K28" s="9"/>
      <c r="L28" s="9">
        <f t="shared" si="0"/>
        <v>0</v>
      </c>
      <c r="M28" s="9"/>
      <c r="N28" s="9">
        <f t="shared" si="1"/>
        <v>0</v>
      </c>
      <c r="O28" s="9"/>
      <c r="P28" s="9">
        <f t="shared" si="14"/>
        <v>0</v>
      </c>
      <c r="Q28" s="9"/>
      <c r="R28" s="9"/>
      <c r="S28" s="9">
        <f t="shared" si="15"/>
        <v>0</v>
      </c>
      <c r="T28" s="9"/>
      <c r="U28" s="9">
        <f t="shared" si="16"/>
        <v>0</v>
      </c>
      <c r="V28" s="9"/>
      <c r="W28" s="9">
        <f t="shared" si="5"/>
        <v>0</v>
      </c>
      <c r="X28" s="9">
        <f t="shared" si="17"/>
        <v>0</v>
      </c>
      <c r="Y28" s="9"/>
      <c r="Z28" s="9"/>
      <c r="AA28" s="9">
        <f t="shared" si="8"/>
        <v>0</v>
      </c>
      <c r="AB28" s="9"/>
      <c r="AC28" s="19"/>
    </row>
    <row r="29" ht="20.25" customHeight="1" spans="1:29">
      <c r="A29" s="7">
        <v>28</v>
      </c>
      <c r="B29" s="8"/>
      <c r="C29" s="10" t="s">
        <v>520</v>
      </c>
      <c r="D29" s="9" t="s">
        <v>507</v>
      </c>
      <c r="E29" s="9">
        <v>2280</v>
      </c>
      <c r="F29" s="7">
        <v>26</v>
      </c>
      <c r="G29" s="7">
        <v>18</v>
      </c>
      <c r="H29" s="9"/>
      <c r="I29" s="9"/>
      <c r="J29" s="9"/>
      <c r="K29" s="9"/>
      <c r="L29" s="9">
        <f t="shared" si="0"/>
        <v>0</v>
      </c>
      <c r="M29" s="9"/>
      <c r="N29" s="9">
        <f t="shared" si="1"/>
        <v>0</v>
      </c>
      <c r="O29" s="9"/>
      <c r="P29" s="9">
        <f t="shared" si="14"/>
        <v>0</v>
      </c>
      <c r="Q29" s="9"/>
      <c r="R29" s="9"/>
      <c r="S29" s="9">
        <f t="shared" si="15"/>
        <v>0</v>
      </c>
      <c r="T29" s="9"/>
      <c r="U29" s="9">
        <f t="shared" si="16"/>
        <v>0</v>
      </c>
      <c r="V29" s="9"/>
      <c r="W29" s="9">
        <f t="shared" si="5"/>
        <v>0</v>
      </c>
      <c r="X29" s="9">
        <f t="shared" si="17"/>
        <v>0</v>
      </c>
      <c r="Y29" s="9"/>
      <c r="Z29" s="9"/>
      <c r="AA29" s="9">
        <f t="shared" si="8"/>
        <v>0</v>
      </c>
      <c r="AB29" s="9"/>
      <c r="AC29" s="19"/>
    </row>
    <row r="30" ht="20.25" customHeight="1" spans="1:29">
      <c r="A30" s="7">
        <v>29</v>
      </c>
      <c r="B30" s="8"/>
      <c r="C30" s="10" t="s">
        <v>521</v>
      </c>
      <c r="D30" s="9" t="s">
        <v>507</v>
      </c>
      <c r="E30" s="9">
        <v>2280</v>
      </c>
      <c r="F30" s="7">
        <v>26</v>
      </c>
      <c r="G30" s="7">
        <v>18</v>
      </c>
      <c r="H30" s="9"/>
      <c r="I30" s="9"/>
      <c r="J30" s="9"/>
      <c r="K30" s="9"/>
      <c r="L30" s="9">
        <f t="shared" si="0"/>
        <v>0</v>
      </c>
      <c r="M30" s="9"/>
      <c r="N30" s="9">
        <f t="shared" si="1"/>
        <v>0</v>
      </c>
      <c r="O30" s="9"/>
      <c r="P30" s="9">
        <f t="shared" si="14"/>
        <v>0</v>
      </c>
      <c r="Q30" s="9"/>
      <c r="R30" s="9"/>
      <c r="S30" s="9">
        <f t="shared" si="15"/>
        <v>0</v>
      </c>
      <c r="T30" s="9"/>
      <c r="U30" s="9">
        <f t="shared" si="16"/>
        <v>0</v>
      </c>
      <c r="V30" s="9"/>
      <c r="W30" s="9">
        <f t="shared" si="5"/>
        <v>0</v>
      </c>
      <c r="X30" s="9">
        <f t="shared" si="17"/>
        <v>0</v>
      </c>
      <c r="Y30" s="9"/>
      <c r="Z30" s="9"/>
      <c r="AA30" s="9">
        <f t="shared" si="8"/>
        <v>0</v>
      </c>
      <c r="AB30" s="9"/>
      <c r="AC30" s="19"/>
    </row>
    <row r="31" ht="20.25" customHeight="1" spans="1:29">
      <c r="A31" s="7">
        <v>30</v>
      </c>
      <c r="B31" s="8"/>
      <c r="C31" s="10" t="s">
        <v>522</v>
      </c>
      <c r="D31" s="9" t="s">
        <v>507</v>
      </c>
      <c r="E31" s="9">
        <v>2280</v>
      </c>
      <c r="F31" s="7">
        <v>26</v>
      </c>
      <c r="G31" s="7">
        <v>23</v>
      </c>
      <c r="H31" s="9"/>
      <c r="I31" s="9"/>
      <c r="J31" s="9"/>
      <c r="K31" s="9"/>
      <c r="L31" s="9">
        <f t="shared" si="0"/>
        <v>0</v>
      </c>
      <c r="M31" s="9"/>
      <c r="N31" s="9">
        <f t="shared" si="1"/>
        <v>0</v>
      </c>
      <c r="O31" s="9"/>
      <c r="P31" s="9">
        <f t="shared" si="14"/>
        <v>0</v>
      </c>
      <c r="Q31" s="9"/>
      <c r="R31" s="9"/>
      <c r="S31" s="9">
        <f t="shared" si="15"/>
        <v>0</v>
      </c>
      <c r="T31" s="9"/>
      <c r="U31" s="9">
        <f t="shared" si="16"/>
        <v>0</v>
      </c>
      <c r="V31" s="9"/>
      <c r="W31" s="9">
        <f t="shared" si="5"/>
        <v>0</v>
      </c>
      <c r="X31" s="9">
        <f t="shared" si="17"/>
        <v>0</v>
      </c>
      <c r="Y31" s="9"/>
      <c r="Z31" s="9"/>
      <c r="AA31" s="9">
        <f t="shared" si="8"/>
        <v>0</v>
      </c>
      <c r="AB31" s="9"/>
      <c r="AC31" s="19"/>
    </row>
    <row r="32" ht="20.25" customHeight="1" spans="1:29">
      <c r="A32" s="7">
        <v>31</v>
      </c>
      <c r="B32" s="8"/>
      <c r="C32" s="10" t="s">
        <v>523</v>
      </c>
      <c r="D32" s="9" t="s">
        <v>507</v>
      </c>
      <c r="E32" s="9">
        <v>2280</v>
      </c>
      <c r="F32" s="7">
        <v>26</v>
      </c>
      <c r="G32" s="7">
        <v>18</v>
      </c>
      <c r="H32" s="9"/>
      <c r="I32" s="9"/>
      <c r="J32" s="9"/>
      <c r="K32" s="9"/>
      <c r="L32" s="9">
        <f t="shared" si="0"/>
        <v>0</v>
      </c>
      <c r="M32" s="9"/>
      <c r="N32" s="9">
        <f t="shared" si="1"/>
        <v>0</v>
      </c>
      <c r="O32" s="9"/>
      <c r="P32" s="9">
        <f t="shared" si="14"/>
        <v>0</v>
      </c>
      <c r="Q32" s="9"/>
      <c r="R32" s="9"/>
      <c r="S32" s="9">
        <f t="shared" si="15"/>
        <v>0</v>
      </c>
      <c r="T32" s="9"/>
      <c r="U32" s="9">
        <f t="shared" si="16"/>
        <v>0</v>
      </c>
      <c r="V32" s="9"/>
      <c r="W32" s="9">
        <f t="shared" si="5"/>
        <v>0</v>
      </c>
      <c r="X32" s="9">
        <f t="shared" si="17"/>
        <v>0</v>
      </c>
      <c r="Y32" s="9"/>
      <c r="Z32" s="9"/>
      <c r="AA32" s="9">
        <f t="shared" si="8"/>
        <v>0</v>
      </c>
      <c r="AB32" s="9"/>
      <c r="AC32" s="19"/>
    </row>
    <row r="33" ht="20.25" customHeight="1" spans="1:29">
      <c r="A33" s="7">
        <v>32</v>
      </c>
      <c r="B33" s="8"/>
      <c r="C33" s="10" t="s">
        <v>524</v>
      </c>
      <c r="D33" s="9" t="s">
        <v>507</v>
      </c>
      <c r="E33" s="9">
        <v>2280</v>
      </c>
      <c r="F33" s="7">
        <v>26</v>
      </c>
      <c r="G33" s="7">
        <v>18</v>
      </c>
      <c r="H33" s="9"/>
      <c r="I33" s="9"/>
      <c r="J33" s="9"/>
      <c r="K33" s="9"/>
      <c r="L33" s="9">
        <f t="shared" si="0"/>
        <v>0</v>
      </c>
      <c r="M33" s="9"/>
      <c r="N33" s="9">
        <f t="shared" si="1"/>
        <v>0</v>
      </c>
      <c r="O33" s="9"/>
      <c r="P33" s="9">
        <f t="shared" si="14"/>
        <v>0</v>
      </c>
      <c r="Q33" s="9"/>
      <c r="R33" s="9"/>
      <c r="S33" s="9">
        <f t="shared" si="15"/>
        <v>0</v>
      </c>
      <c r="T33" s="9"/>
      <c r="U33" s="9">
        <f t="shared" si="16"/>
        <v>0</v>
      </c>
      <c r="V33" s="9"/>
      <c r="W33" s="9">
        <f t="shared" si="5"/>
        <v>0</v>
      </c>
      <c r="X33" s="9">
        <f t="shared" si="17"/>
        <v>0</v>
      </c>
      <c r="Y33" s="9"/>
      <c r="Z33" s="9"/>
      <c r="AA33" s="9">
        <f t="shared" si="8"/>
        <v>0</v>
      </c>
      <c r="AB33" s="9"/>
      <c r="AC33" s="19"/>
    </row>
    <row r="34" ht="20.25" customHeight="1" spans="1:29">
      <c r="A34" s="7">
        <v>33</v>
      </c>
      <c r="B34" s="8"/>
      <c r="C34" s="10" t="s">
        <v>75</v>
      </c>
      <c r="D34" s="9" t="s">
        <v>507</v>
      </c>
      <c r="E34" s="9">
        <v>2280</v>
      </c>
      <c r="F34" s="7">
        <v>26</v>
      </c>
      <c r="G34" s="7">
        <v>24</v>
      </c>
      <c r="H34" s="9"/>
      <c r="I34" s="9"/>
      <c r="J34" s="9"/>
      <c r="K34" s="9"/>
      <c r="L34" s="9">
        <f t="shared" si="0"/>
        <v>0</v>
      </c>
      <c r="M34" s="9"/>
      <c r="N34" s="9">
        <f t="shared" si="1"/>
        <v>0</v>
      </c>
      <c r="O34" s="9"/>
      <c r="P34" s="9">
        <f t="shared" si="14"/>
        <v>0</v>
      </c>
      <c r="Q34" s="9"/>
      <c r="R34" s="9"/>
      <c r="S34" s="9">
        <f t="shared" si="15"/>
        <v>0</v>
      </c>
      <c r="T34" s="9"/>
      <c r="U34" s="9">
        <f t="shared" si="16"/>
        <v>0</v>
      </c>
      <c r="V34" s="9"/>
      <c r="W34" s="9">
        <f t="shared" si="5"/>
        <v>0</v>
      </c>
      <c r="X34" s="9">
        <f t="shared" si="17"/>
        <v>0</v>
      </c>
      <c r="Y34" s="9"/>
      <c r="Z34" s="9"/>
      <c r="AA34" s="9">
        <f t="shared" si="8"/>
        <v>0</v>
      </c>
      <c r="AB34" s="9"/>
      <c r="AC34" s="19"/>
    </row>
    <row r="35" ht="20.25" customHeight="1" spans="1:29">
      <c r="A35" s="7">
        <v>34</v>
      </c>
      <c r="B35" s="8"/>
      <c r="C35" s="10" t="s">
        <v>525</v>
      </c>
      <c r="D35" s="9" t="s">
        <v>165</v>
      </c>
      <c r="E35" s="9">
        <v>2280</v>
      </c>
      <c r="F35" s="7">
        <v>21.75</v>
      </c>
      <c r="G35" s="7">
        <v>14</v>
      </c>
      <c r="H35" s="9"/>
      <c r="I35" s="9"/>
      <c r="J35" s="9"/>
      <c r="K35" s="9"/>
      <c r="L35" s="9">
        <f t="shared" si="0"/>
        <v>0</v>
      </c>
      <c r="M35" s="9"/>
      <c r="N35" s="9">
        <f t="shared" si="1"/>
        <v>0</v>
      </c>
      <c r="O35" s="9"/>
      <c r="P35" s="9">
        <f t="shared" si="14"/>
        <v>0</v>
      </c>
      <c r="Q35" s="9"/>
      <c r="R35" s="9"/>
      <c r="S35" s="9">
        <f t="shared" si="15"/>
        <v>0</v>
      </c>
      <c r="T35" s="9"/>
      <c r="U35" s="9">
        <f t="shared" si="16"/>
        <v>0</v>
      </c>
      <c r="V35" s="9"/>
      <c r="W35" s="9">
        <f t="shared" si="5"/>
        <v>0</v>
      </c>
      <c r="X35" s="9">
        <f t="shared" si="17"/>
        <v>0</v>
      </c>
      <c r="Y35" s="9"/>
      <c r="Z35" s="9"/>
      <c r="AA35" s="9">
        <f t="shared" si="8"/>
        <v>0</v>
      </c>
      <c r="AB35" s="9"/>
      <c r="AC35" s="19"/>
    </row>
    <row r="36" ht="20.25" customHeight="1" spans="1:29">
      <c r="A36" s="7">
        <v>35</v>
      </c>
      <c r="B36" s="8"/>
      <c r="C36" s="10" t="s">
        <v>333</v>
      </c>
      <c r="D36" s="9"/>
      <c r="E36" s="9">
        <v>7310</v>
      </c>
      <c r="F36" s="9">
        <v>26</v>
      </c>
      <c r="G36" s="9"/>
      <c r="H36" s="9"/>
      <c r="I36" s="19"/>
      <c r="L36" s="20">
        <f t="shared" si="0"/>
        <v>0</v>
      </c>
      <c r="N36" s="20">
        <f t="shared" si="1"/>
        <v>0</v>
      </c>
      <c r="S36" s="20">
        <f t="shared" si="15"/>
        <v>0</v>
      </c>
      <c r="U36" s="20">
        <f t="shared" si="16"/>
        <v>0</v>
      </c>
      <c r="W36" s="20">
        <f t="shared" si="5"/>
        <v>0</v>
      </c>
      <c r="X36" s="20">
        <f t="shared" si="17"/>
        <v>0</v>
      </c>
      <c r="Z36" s="24"/>
      <c r="AA36" s="25">
        <f t="shared" si="8"/>
        <v>0</v>
      </c>
      <c r="AB36" s="24"/>
      <c r="AC36" s="24"/>
    </row>
    <row r="37" ht="20.25" customHeight="1" spans="1:29">
      <c r="A37" s="13"/>
      <c r="B37" s="14"/>
      <c r="C37" s="15"/>
      <c r="D37" s="16"/>
      <c r="E37" s="16"/>
      <c r="F37" s="13"/>
      <c r="G37" s="13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26"/>
    </row>
    <row r="38" ht="20.25" customHeight="1" spans="1:29">
      <c r="A38" s="13"/>
      <c r="B38" s="14"/>
      <c r="C38" s="15"/>
      <c r="D38" s="16"/>
      <c r="E38" s="16"/>
      <c r="F38" s="13"/>
      <c r="G38" s="13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26"/>
    </row>
    <row r="39" ht="14.25" customHeight="1" spans="3:3">
      <c r="C39" s="15"/>
    </row>
    <row r="40" customHeight="1" spans="10:28">
      <c r="J40" s="21">
        <f>SUM(J4:J35)</f>
        <v>0</v>
      </c>
      <c r="K40" s="21">
        <f>SUM(K4:K35)</f>
        <v>0</v>
      </c>
      <c r="L40" s="21">
        <f>SUM(L4:L36)</f>
        <v>0</v>
      </c>
      <c r="M40" s="21">
        <f>SUM(M4:M35)</f>
        <v>0</v>
      </c>
      <c r="N40" s="21">
        <f>SUM(N4:N36)</f>
        <v>0</v>
      </c>
      <c r="O40" s="21">
        <f>SUM(O4:O35)</f>
        <v>0</v>
      </c>
      <c r="P40" s="21">
        <f>SUM(P4:P35)</f>
        <v>0</v>
      </c>
      <c r="Q40" s="21">
        <f>SUM(Q4:Q35)</f>
        <v>0</v>
      </c>
      <c r="R40" s="21">
        <f>SUM(R4:R35)</f>
        <v>0</v>
      </c>
      <c r="S40" s="21">
        <f>SUM(S4:S36)</f>
        <v>0</v>
      </c>
      <c r="T40" s="21">
        <f>SUM(T4:T35)</f>
        <v>0</v>
      </c>
      <c r="U40" s="21">
        <f>SUM(U4:U36)</f>
        <v>0</v>
      </c>
      <c r="V40" s="21">
        <f>SUM(V4:V35)</f>
        <v>0</v>
      </c>
      <c r="W40" s="21">
        <f>SUM(W4:W36)</f>
        <v>0</v>
      </c>
      <c r="X40" s="21">
        <f>SUM(X4:X36)</f>
        <v>0</v>
      </c>
      <c r="Y40" s="21">
        <f>SUM(Y4:Y35)</f>
        <v>1200</v>
      </c>
      <c r="Z40" s="21">
        <f>SUM(Z4:Z35)</f>
        <v>0</v>
      </c>
      <c r="AA40" s="21">
        <f>SUM(AA4:AA36)</f>
        <v>0</v>
      </c>
      <c r="AB40" s="21"/>
    </row>
  </sheetData>
  <mergeCells count="20">
    <mergeCell ref="A1:AA1"/>
    <mergeCell ref="H2:K2"/>
    <mergeCell ref="M2:O2"/>
    <mergeCell ref="R2:S2"/>
    <mergeCell ref="T2:U2"/>
    <mergeCell ref="V2:W2"/>
    <mergeCell ref="Z2:AA2"/>
    <mergeCell ref="A2:A3"/>
    <mergeCell ref="B2:B3"/>
    <mergeCell ref="C2:C3"/>
    <mergeCell ref="D2:D3"/>
    <mergeCell ref="E2:E3"/>
    <mergeCell ref="F2:F3"/>
    <mergeCell ref="G2:G3"/>
    <mergeCell ref="L2:L3"/>
    <mergeCell ref="Q2:Q3"/>
    <mergeCell ref="X2:X3"/>
    <mergeCell ref="Y2:Y3"/>
    <mergeCell ref="AB2:AB3"/>
    <mergeCell ref="AC1:AC3"/>
  </mergeCells>
  <dataValidations count="1">
    <dataValidation allowBlank="1" showInputMessage="1" showErrorMessage="1" sqref="B7 B9 B4:B5 B11:B13"/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工资表</vt:lpstr>
      <vt:lpstr>项目奖金</vt:lpstr>
      <vt:lpstr>综合所得申报税款计算</vt:lpstr>
      <vt:lpstr>社保公积金</vt:lpstr>
      <vt:lpstr>社保公积金1</vt:lpstr>
      <vt:lpstr>考勤</vt:lpstr>
      <vt:lpstr>考勤 (2)不用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姜泽蓬</cp:lastModifiedBy>
  <dcterms:created xsi:type="dcterms:W3CDTF">2006-09-16T00:00:00Z</dcterms:created>
  <dcterms:modified xsi:type="dcterms:W3CDTF">2024-12-17T06:03:38Z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894C4B8C22244017B8E2412C875CCFDE_12</vt:lpwstr>
  </property>
  <property fmtid="{D5CDD505-2E9C-101B-9397-08002B2CF9AE}" pid="3" name="KSOProductBuildVer">
    <vt:lpwstr>2052-12.1.0.19302</vt:lpwstr>
  </property>
</Properties>
</file>