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1360"/>
  </bookViews>
  <sheets>
    <sheet name="1月份" sheetId="1" r:id="rId1"/>
  </sheets>
  <definedNames>
    <definedName name="_xlnm._FilterDatabase" localSheetId="0" hidden="1">'1月份'!$A$1:$E$33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<sst xmlns="http://schemas.openxmlformats.org/spreadsheetml/2006/main" count="201" uniqueCount="110">
  <si>
    <t>日期</t>
  </si>
  <si>
    <t>门店</t>
  </si>
  <si>
    <t>维修点位</t>
  </si>
  <si>
    <t>城市</t>
  </si>
  <si>
    <t>金额</t>
  </si>
  <si>
    <t>12月份按城市划分（公寓）</t>
  </si>
  <si>
    <t>建中-郑州派客公寓</t>
  </si>
  <si>
    <t>郑州</t>
  </si>
  <si>
    <t>在建房间量</t>
  </si>
  <si>
    <t>兼职费开销</t>
  </si>
  <si>
    <t>单方人工成本</t>
  </si>
  <si>
    <t>龙湖冠寓-合肥瑶海天街店</t>
  </si>
  <si>
    <t>2-1026</t>
  </si>
  <si>
    <t>合肥</t>
  </si>
  <si>
    <t>嘉兴</t>
  </si>
  <si>
    <t>万洋（慈溪周巷）众创城</t>
  </si>
  <si>
    <t>1112、1508</t>
  </si>
  <si>
    <t>慈溪</t>
  </si>
  <si>
    <t>南昌</t>
  </si>
  <si>
    <t>万洋（博罗）众创城</t>
  </si>
  <si>
    <t>c1a602</t>
  </si>
  <si>
    <t>惠州</t>
  </si>
  <si>
    <t>宁波</t>
  </si>
  <si>
    <t>佛冈万洋众创城</t>
  </si>
  <si>
    <t>13-806</t>
  </si>
  <si>
    <t>佛冈</t>
  </si>
  <si>
    <t>天津</t>
  </si>
  <si>
    <t>龙湖冠寓-宁波宁南路店</t>
  </si>
  <si>
    <t>4楼交换机换跟网线</t>
  </si>
  <si>
    <t>窝趣-中山香海店</t>
  </si>
  <si>
    <t>b501、b519、b315</t>
  </si>
  <si>
    <t>中山</t>
  </si>
  <si>
    <t>安歆公寓-南京珠江路店</t>
  </si>
  <si>
    <t>办公室拉网络</t>
  </si>
  <si>
    <t>南京</t>
  </si>
  <si>
    <t>珠海</t>
  </si>
  <si>
    <t>龙湖冠寓-天津友谊路店</t>
  </si>
  <si>
    <t>322</t>
  </si>
  <si>
    <t>上海</t>
  </si>
  <si>
    <t>龙湖冠寓-天津音乐学院店</t>
  </si>
  <si>
    <t>b209</t>
  </si>
  <si>
    <t>北京</t>
  </si>
  <si>
    <t>魔方公寓-南京庄排店</t>
  </si>
  <si>
    <t>902、211</t>
  </si>
  <si>
    <t>窝趣-上海宝山店</t>
  </si>
  <si>
    <t>前台没网</t>
  </si>
  <si>
    <t>温州</t>
  </si>
  <si>
    <t>万洋（慈溪河姆渡）众创城</t>
  </si>
  <si>
    <t>803、813</t>
  </si>
  <si>
    <t>深圳</t>
  </si>
  <si>
    <t>16栋商铺</t>
  </si>
  <si>
    <t>西安</t>
  </si>
  <si>
    <t>佛山南海万洋众创城</t>
  </si>
  <si>
    <t>3-1529</t>
  </si>
  <si>
    <t>佛山</t>
  </si>
  <si>
    <t>3-1007</t>
  </si>
  <si>
    <t>总计</t>
  </si>
  <si>
    <t>杭州</t>
  </si>
  <si>
    <t>龙湖冠寓-中山火炬店</t>
  </si>
  <si>
    <t>1606放线</t>
  </si>
  <si>
    <t>1601放线</t>
  </si>
  <si>
    <t>12月份按城市划分（商业）</t>
  </si>
  <si>
    <t>a212放线</t>
  </si>
  <si>
    <t>单房人工成本</t>
  </si>
  <si>
    <t>四楼换交换机放线</t>
  </si>
  <si>
    <t>龙湖冠寓-天津华苑店</t>
  </si>
  <si>
    <t>漳州</t>
  </si>
  <si>
    <t>余姚</t>
  </si>
  <si>
    <t>福州</t>
  </si>
  <si>
    <t>马尾</t>
  </si>
  <si>
    <t>泉州南安万洋众创城</t>
  </si>
  <si>
    <t>22-401</t>
  </si>
  <si>
    <t>泉州</t>
  </si>
  <si>
    <t>南安、台商</t>
  </si>
  <si>
    <t>柳州</t>
  </si>
  <si>
    <t>龙湖冠寓-珠海乐士店</t>
  </si>
  <si>
    <t>从化</t>
  </si>
  <si>
    <t>顺德北滘万洋众创城</t>
  </si>
  <si>
    <t>4区5栋301</t>
  </si>
  <si>
    <t>顺德</t>
  </si>
  <si>
    <t>肥西</t>
  </si>
  <si>
    <t>10-1508</t>
  </si>
  <si>
    <t>丽水</t>
  </si>
  <si>
    <t>b1201</t>
  </si>
  <si>
    <t>英德</t>
  </si>
  <si>
    <t>英红镇、英华镇</t>
  </si>
  <si>
    <t>东阳万洋众创城</t>
  </si>
  <si>
    <t>1113安装</t>
  </si>
  <si>
    <t>金华</t>
  </si>
  <si>
    <t>北滘、勒流、龙江</t>
  </si>
  <si>
    <t>南马万洋众创城</t>
  </si>
  <si>
    <t>鹤山</t>
  </si>
  <si>
    <t>址山、古劳</t>
  </si>
  <si>
    <t>黄家埠、河姆渡</t>
  </si>
  <si>
    <t>顺德龙江万洋众创城</t>
  </si>
  <si>
    <t>横河、掌起、周巷</t>
  </si>
  <si>
    <t>惠东、江丰博罗、博罗</t>
  </si>
  <si>
    <t>南通</t>
  </si>
  <si>
    <t>如东</t>
  </si>
  <si>
    <t>佛冈、聚宝、经开、清新</t>
  </si>
  <si>
    <t>连平</t>
  </si>
  <si>
    <t>河源</t>
  </si>
  <si>
    <t>阳江</t>
  </si>
  <si>
    <t>梅州</t>
  </si>
  <si>
    <t>丰顺</t>
  </si>
  <si>
    <t>江门</t>
  </si>
  <si>
    <t>荷塘</t>
  </si>
  <si>
    <t>浏阳</t>
  </si>
  <si>
    <t>南安</t>
  </si>
  <si>
    <t>南马、东阳、巍山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</si>
</sst>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3">
    <font>
      <sz val="11"/>
      <color theme="1"/>
      <name val="宋体"/>
      <charset val="134"/>
      <scheme val="minor"/>
    </font>
    <font>
      <sz val="11"/>
      <color rgb="FF000000"/>
      <name val="宋体-简"/>
      <charset val="134"/>
    </font>
    <font>
      <strike/>
      <sz val="11"/>
      <color theme="1"/>
      <name val="宋体"/>
      <charset val="134"/>
      <scheme val="minor"/>
    </font>
    <font>
      <b/>
      <sz val="12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0" fillId="4" borderId="1" xfId="0" applyNumberFormat="1" applyFont="1" applyFill="1" applyBorder="1" applyAlignment="1">
      <alignment horizontal="center" vertical="center"/>
    </xf>
    <xf numFmtId="177" fontId="0" fillId="5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0"/>
  <sheetViews>
    <sheetView tabSelected="1" workbookViewId="0">
      <selection activeCell="H10" sqref="H10"/>
    </sheetView>
  </sheetViews>
  <sheetFormatPr defaultColWidth="9.23076923076923" defaultRowHeight="16.8"/>
  <cols>
    <col min="2" max="2" width="28.0769230769231" customWidth="1"/>
    <col min="11" max="11" width="9.61538461538461"/>
    <col min="12" max="13" width="9.23076923076923" style="1"/>
  </cols>
  <sheetData>
    <row r="1" ht="17.6" spans="1:11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3" t="s">
        <v>5</v>
      </c>
      <c r="I1" s="13"/>
      <c r="J1" s="13"/>
      <c r="K1" s="13"/>
    </row>
    <row r="2" ht="17.6" spans="1:11">
      <c r="A2" s="4">
        <v>45659</v>
      </c>
      <c r="B2" s="5" t="s">
        <v>6</v>
      </c>
      <c r="C2" s="6">
        <v>2515</v>
      </c>
      <c r="D2" s="5" t="s">
        <v>7</v>
      </c>
      <c r="E2" s="6">
        <v>100</v>
      </c>
      <c r="H2" s="14" t="s">
        <v>3</v>
      </c>
      <c r="I2" s="14" t="s">
        <v>8</v>
      </c>
      <c r="J2" s="14" t="s">
        <v>9</v>
      </c>
      <c r="K2" s="20" t="s">
        <v>10</v>
      </c>
    </row>
    <row r="3" spans="1:11">
      <c r="A3" s="4">
        <v>45659</v>
      </c>
      <c r="B3" s="5" t="s">
        <v>11</v>
      </c>
      <c r="C3" s="5" t="s">
        <v>12</v>
      </c>
      <c r="D3" s="5" t="s">
        <v>13</v>
      </c>
      <c r="E3" s="6">
        <v>150</v>
      </c>
      <c r="H3" s="15" t="s">
        <v>14</v>
      </c>
      <c r="I3" s="15">
        <v>255</v>
      </c>
      <c r="J3" s="15">
        <f>SUMIFS(E2:E213,D2:D213,"嘉兴")</f>
        <v>0</v>
      </c>
      <c r="K3" s="21">
        <f t="shared" ref="K3:K17" si="0">J3/I3</f>
        <v>0</v>
      </c>
    </row>
    <row r="4" spans="1:11">
      <c r="A4" s="7">
        <v>45659</v>
      </c>
      <c r="B4" s="8" t="s">
        <v>15</v>
      </c>
      <c r="C4" s="9" t="s">
        <v>16</v>
      </c>
      <c r="D4" s="8" t="s">
        <v>17</v>
      </c>
      <c r="E4" s="8">
        <v>150</v>
      </c>
      <c r="H4" s="15" t="s">
        <v>18</v>
      </c>
      <c r="I4" s="15">
        <v>372</v>
      </c>
      <c r="J4" s="15">
        <f>SUMIFS(E2:E213,D2:D213,"南昌")</f>
        <v>0</v>
      </c>
      <c r="K4" s="21">
        <f t="shared" si="0"/>
        <v>0</v>
      </c>
    </row>
    <row r="5" spans="1:11">
      <c r="A5" s="7">
        <v>45659</v>
      </c>
      <c r="B5" s="8" t="s">
        <v>19</v>
      </c>
      <c r="C5" s="9" t="s">
        <v>20</v>
      </c>
      <c r="D5" s="8" t="s">
        <v>21</v>
      </c>
      <c r="E5" s="8">
        <v>200</v>
      </c>
      <c r="H5" s="15" t="s">
        <v>22</v>
      </c>
      <c r="I5" s="15">
        <v>1396</v>
      </c>
      <c r="J5" s="15">
        <f>SUMIFS(E2:E213,D2:D213,"宁波")</f>
        <v>350</v>
      </c>
      <c r="K5" s="21">
        <f t="shared" si="0"/>
        <v>0.250716332378223</v>
      </c>
    </row>
    <row r="6" spans="1:11">
      <c r="A6" s="7">
        <v>45659</v>
      </c>
      <c r="B6" s="8" t="s">
        <v>23</v>
      </c>
      <c r="C6" s="9" t="s">
        <v>24</v>
      </c>
      <c r="D6" s="8" t="s">
        <v>25</v>
      </c>
      <c r="E6" s="8">
        <v>300</v>
      </c>
      <c r="H6" s="15" t="s">
        <v>26</v>
      </c>
      <c r="I6" s="15">
        <v>886</v>
      </c>
      <c r="J6" s="15">
        <f>SUMIFS(E2:E213,D2:D213,"天津")</f>
        <v>450</v>
      </c>
      <c r="K6" s="21">
        <f t="shared" si="0"/>
        <v>0.507900677200903</v>
      </c>
    </row>
    <row r="7" spans="1:11">
      <c r="A7" s="7">
        <v>45659</v>
      </c>
      <c r="B7" s="8" t="s">
        <v>27</v>
      </c>
      <c r="C7" s="9" t="s">
        <v>28</v>
      </c>
      <c r="D7" s="8" t="s">
        <v>22</v>
      </c>
      <c r="E7" s="8">
        <v>50</v>
      </c>
      <c r="H7" s="15" t="s">
        <v>7</v>
      </c>
      <c r="I7" s="15">
        <v>1630</v>
      </c>
      <c r="J7" s="15">
        <f>SUMIFS(E2:E213,D2:D213,"郑州")</f>
        <v>200</v>
      </c>
      <c r="K7" s="21">
        <f t="shared" si="0"/>
        <v>0.122699386503067</v>
      </c>
    </row>
    <row r="8" spans="1:11">
      <c r="A8" s="7">
        <v>45659</v>
      </c>
      <c r="B8" s="8" t="s">
        <v>29</v>
      </c>
      <c r="C8" s="9" t="s">
        <v>30</v>
      </c>
      <c r="D8" s="8" t="s">
        <v>31</v>
      </c>
      <c r="E8" s="8">
        <v>150</v>
      </c>
      <c r="H8" s="15" t="s">
        <v>31</v>
      </c>
      <c r="I8" s="15">
        <v>356</v>
      </c>
      <c r="J8" s="15">
        <f>SUMIFS(E2:E213,D2:D213,"中山")</f>
        <v>1050</v>
      </c>
      <c r="K8" s="21">
        <f t="shared" si="0"/>
        <v>2.94943820224719</v>
      </c>
    </row>
    <row r="9" spans="1:11">
      <c r="A9" s="7">
        <v>45659</v>
      </c>
      <c r="B9" s="8" t="s">
        <v>32</v>
      </c>
      <c r="C9" s="9" t="s">
        <v>33</v>
      </c>
      <c r="D9" s="8" t="s">
        <v>34</v>
      </c>
      <c r="E9" s="8">
        <v>250</v>
      </c>
      <c r="H9" s="15" t="s">
        <v>35</v>
      </c>
      <c r="I9" s="15">
        <v>497</v>
      </c>
      <c r="J9" s="15">
        <f>SUMIFS(E2:E213,D2:D213,"珠海")</f>
        <v>150</v>
      </c>
      <c r="K9" s="21">
        <f t="shared" si="0"/>
        <v>0.301810865191147</v>
      </c>
    </row>
    <row r="10" spans="1:11">
      <c r="A10" s="7">
        <v>45659</v>
      </c>
      <c r="B10" s="8" t="s">
        <v>36</v>
      </c>
      <c r="C10" s="9" t="s">
        <v>37</v>
      </c>
      <c r="D10" s="8" t="s">
        <v>26</v>
      </c>
      <c r="E10" s="8">
        <v>150</v>
      </c>
      <c r="H10" s="15" t="s">
        <v>38</v>
      </c>
      <c r="I10" s="15">
        <v>4904</v>
      </c>
      <c r="J10" s="15">
        <f>SUMIFS(E2:E213,D2:D213,"上海")</f>
        <v>150</v>
      </c>
      <c r="K10" s="21">
        <f t="shared" si="0"/>
        <v>0.0305872756933116</v>
      </c>
    </row>
    <row r="11" spans="1:11">
      <c r="A11" s="7">
        <v>45659</v>
      </c>
      <c r="B11" s="8" t="s">
        <v>39</v>
      </c>
      <c r="C11" s="9" t="s">
        <v>40</v>
      </c>
      <c r="D11" s="8" t="s">
        <v>26</v>
      </c>
      <c r="E11" s="8">
        <v>150</v>
      </c>
      <c r="H11" s="15" t="s">
        <v>41</v>
      </c>
      <c r="I11" s="15">
        <v>837</v>
      </c>
      <c r="J11" s="15">
        <f>SUMIFS(E2:E213,D2:D213,"北京")</f>
        <v>0</v>
      </c>
      <c r="K11" s="21">
        <f t="shared" si="0"/>
        <v>0</v>
      </c>
    </row>
    <row r="12" spans="1:11">
      <c r="A12" s="10">
        <v>45660</v>
      </c>
      <c r="B12" s="8" t="s">
        <v>42</v>
      </c>
      <c r="C12" s="9" t="s">
        <v>43</v>
      </c>
      <c r="D12" s="8" t="s">
        <v>34</v>
      </c>
      <c r="E12" s="8">
        <v>150</v>
      </c>
      <c r="H12" s="15" t="s">
        <v>34</v>
      </c>
      <c r="I12" s="15">
        <v>1139</v>
      </c>
      <c r="J12" s="15">
        <f>SUMIFS(E2:E213,D2:D213,"南京")</f>
        <v>400</v>
      </c>
      <c r="K12" s="21">
        <f t="shared" si="0"/>
        <v>0.351185250219491</v>
      </c>
    </row>
    <row r="13" spans="1:11">
      <c r="A13" s="10">
        <v>45660</v>
      </c>
      <c r="B13" s="8" t="s">
        <v>44</v>
      </c>
      <c r="C13" s="9" t="s">
        <v>45</v>
      </c>
      <c r="D13" s="8" t="s">
        <v>38</v>
      </c>
      <c r="E13" s="8">
        <v>150</v>
      </c>
      <c r="H13" s="16" t="s">
        <v>46</v>
      </c>
      <c r="I13" s="16">
        <v>400</v>
      </c>
      <c r="J13" s="15">
        <f>SUMIFS(E2:E213,D2:D213,"温州")</f>
        <v>0</v>
      </c>
      <c r="K13" s="21">
        <f t="shared" si="0"/>
        <v>0</v>
      </c>
    </row>
    <row r="14" spans="1:11">
      <c r="A14" s="10">
        <v>45660</v>
      </c>
      <c r="B14" s="8" t="s">
        <v>47</v>
      </c>
      <c r="C14" s="9" t="s">
        <v>48</v>
      </c>
      <c r="D14" s="8" t="s">
        <v>17</v>
      </c>
      <c r="E14" s="8">
        <v>150</v>
      </c>
      <c r="H14" s="16" t="s">
        <v>49</v>
      </c>
      <c r="I14" s="16">
        <v>6134</v>
      </c>
      <c r="J14" s="15">
        <f>SUMIFS(E2:E213,D2:D213,"深圳")</f>
        <v>0</v>
      </c>
      <c r="K14" s="21">
        <f t="shared" si="0"/>
        <v>0</v>
      </c>
    </row>
    <row r="15" spans="1:11">
      <c r="A15" s="11">
        <v>45663</v>
      </c>
      <c r="B15" s="12" t="s">
        <v>23</v>
      </c>
      <c r="C15" s="12" t="s">
        <v>50</v>
      </c>
      <c r="D15" s="12" t="s">
        <v>25</v>
      </c>
      <c r="E15" s="12">
        <v>300</v>
      </c>
      <c r="H15" s="16" t="s">
        <v>51</v>
      </c>
      <c r="I15" s="16">
        <v>120</v>
      </c>
      <c r="J15" s="15">
        <f>SUMIFS(E2:E213,D2:D213,"西安")</f>
        <v>0</v>
      </c>
      <c r="K15" s="21">
        <f t="shared" si="0"/>
        <v>0</v>
      </c>
    </row>
    <row r="16" spans="1:11">
      <c r="A16" s="11">
        <v>45663</v>
      </c>
      <c r="B16" s="12" t="s">
        <v>52</v>
      </c>
      <c r="C16" s="12" t="s">
        <v>53</v>
      </c>
      <c r="D16" s="12" t="s">
        <v>54</v>
      </c>
      <c r="E16" s="12">
        <v>150</v>
      </c>
      <c r="H16" s="16" t="s">
        <v>13</v>
      </c>
      <c r="I16" s="16">
        <v>4541</v>
      </c>
      <c r="J16" s="15">
        <f>SUMIFS(E2:E213,D2:D213,"合肥")</f>
        <v>150</v>
      </c>
      <c r="K16" s="21">
        <f t="shared" si="0"/>
        <v>0.0330323717242898</v>
      </c>
    </row>
    <row r="17" spans="1:13">
      <c r="A17" s="11">
        <v>45663</v>
      </c>
      <c r="B17" s="12" t="s">
        <v>52</v>
      </c>
      <c r="C17" s="12" t="s">
        <v>55</v>
      </c>
      <c r="D17" s="12" t="s">
        <v>54</v>
      </c>
      <c r="E17" s="12">
        <v>150</v>
      </c>
      <c r="H17" s="17" t="s">
        <v>56</v>
      </c>
      <c r="I17" s="17">
        <f>SUM(I3:I16)</f>
        <v>23467</v>
      </c>
      <c r="J17" s="17">
        <f>SUM(J3:J16)</f>
        <v>2900</v>
      </c>
      <c r="K17" s="22">
        <f t="shared" si="0"/>
        <v>0.123577790088209</v>
      </c>
      <c r="L17" s="1" t="s">
        <v>57</v>
      </c>
      <c r="M17" s="1">
        <v>300</v>
      </c>
    </row>
    <row r="18" spans="1:5">
      <c r="A18" s="11">
        <v>45663</v>
      </c>
      <c r="B18" s="12" t="s">
        <v>58</v>
      </c>
      <c r="C18" s="12" t="s">
        <v>59</v>
      </c>
      <c r="D18" s="12" t="s">
        <v>31</v>
      </c>
      <c r="E18" s="12">
        <v>300</v>
      </c>
    </row>
    <row r="19" ht="17.6" spans="1:20">
      <c r="A19" s="11">
        <v>45663</v>
      </c>
      <c r="B19" s="12" t="s">
        <v>58</v>
      </c>
      <c r="C19" s="12" t="s">
        <v>60</v>
      </c>
      <c r="D19" s="12" t="s">
        <v>31</v>
      </c>
      <c r="E19" s="12">
        <v>300</v>
      </c>
      <c r="H19" s="18" t="s">
        <v>61</v>
      </c>
      <c r="I19" s="18"/>
      <c r="J19" s="18"/>
      <c r="K19" s="18"/>
      <c r="P19" s="7">
        <v>45659</v>
      </c>
      <c r="Q19" s="8" t="s">
        <v>15</v>
      </c>
      <c r="R19" s="9" t="s">
        <v>16</v>
      </c>
      <c r="S19" s="8" t="s">
        <v>17</v>
      </c>
      <c r="T19" s="8">
        <v>150</v>
      </c>
    </row>
    <row r="20" ht="17.6" spans="1:20">
      <c r="A20" s="11">
        <v>45663</v>
      </c>
      <c r="B20" s="12" t="s">
        <v>29</v>
      </c>
      <c r="C20" s="12" t="s">
        <v>62</v>
      </c>
      <c r="D20" s="12" t="s">
        <v>31</v>
      </c>
      <c r="E20" s="12">
        <v>300</v>
      </c>
      <c r="H20" s="14" t="s">
        <v>3</v>
      </c>
      <c r="I20" s="14" t="s">
        <v>8</v>
      </c>
      <c r="J20" s="14" t="s">
        <v>9</v>
      </c>
      <c r="K20" s="14" t="s">
        <v>63</v>
      </c>
      <c r="P20" s="7">
        <v>45659</v>
      </c>
      <c r="Q20" s="8" t="s">
        <v>19</v>
      </c>
      <c r="R20" s="9" t="s">
        <v>20</v>
      </c>
      <c r="S20" s="8" t="s">
        <v>21</v>
      </c>
      <c r="T20" s="8">
        <v>200</v>
      </c>
    </row>
    <row r="21" spans="1:20">
      <c r="A21" s="11">
        <v>45663</v>
      </c>
      <c r="B21" s="12" t="s">
        <v>27</v>
      </c>
      <c r="C21" s="12" t="s">
        <v>64</v>
      </c>
      <c r="D21" s="12" t="s">
        <v>22</v>
      </c>
      <c r="E21" s="12">
        <v>300</v>
      </c>
      <c r="H21" s="16" t="s">
        <v>54</v>
      </c>
      <c r="I21" s="19">
        <v>435</v>
      </c>
      <c r="J21" s="19">
        <f>SUMIFS(E2:E213,D2:D213,"佛山")</f>
        <v>300</v>
      </c>
      <c r="K21" s="23">
        <f t="shared" ref="K21:K26" si="1">J21/I21</f>
        <v>0.689655172413793</v>
      </c>
      <c r="P21" s="7">
        <v>45659</v>
      </c>
      <c r="Q21" s="8" t="s">
        <v>23</v>
      </c>
      <c r="R21" s="9" t="s">
        <v>24</v>
      </c>
      <c r="S21" s="8" t="s">
        <v>25</v>
      </c>
      <c r="T21" s="8">
        <v>300</v>
      </c>
    </row>
    <row r="22" spans="1:20">
      <c r="A22" s="11">
        <v>45663</v>
      </c>
      <c r="B22" s="12" t="s">
        <v>65</v>
      </c>
      <c r="C22" s="12">
        <v>1631</v>
      </c>
      <c r="D22" s="12" t="s">
        <v>26</v>
      </c>
      <c r="E22" s="12">
        <v>150</v>
      </c>
      <c r="H22" s="16" t="s">
        <v>66</v>
      </c>
      <c r="I22" s="19">
        <v>17</v>
      </c>
      <c r="J22" s="19">
        <f>SUMIFS(E2:E213,D2:D213,"漳州")</f>
        <v>0</v>
      </c>
      <c r="K22" s="23">
        <f t="shared" si="1"/>
        <v>0</v>
      </c>
      <c r="P22" s="10">
        <v>45660</v>
      </c>
      <c r="Q22" s="8" t="s">
        <v>47</v>
      </c>
      <c r="R22" s="9" t="s">
        <v>48</v>
      </c>
      <c r="S22" s="8" t="s">
        <v>17</v>
      </c>
      <c r="T22" s="8">
        <v>150</v>
      </c>
    </row>
    <row r="23" spans="1:20">
      <c r="A23" s="11">
        <v>45663</v>
      </c>
      <c r="B23" s="12" t="s">
        <v>47</v>
      </c>
      <c r="C23" s="12">
        <v>316</v>
      </c>
      <c r="D23" s="12" t="s">
        <v>67</v>
      </c>
      <c r="E23" s="12">
        <v>150</v>
      </c>
      <c r="H23" s="16" t="s">
        <v>68</v>
      </c>
      <c r="I23" s="19">
        <v>98</v>
      </c>
      <c r="J23" s="19">
        <f>SUMIFS(E2:E213,D2:D213,"福州")</f>
        <v>0</v>
      </c>
      <c r="K23" s="23">
        <f t="shared" si="1"/>
        <v>0</v>
      </c>
      <c r="L23" s="1" t="s">
        <v>69</v>
      </c>
      <c r="P23" s="11">
        <v>45663</v>
      </c>
      <c r="Q23" s="12" t="s">
        <v>23</v>
      </c>
      <c r="R23" s="12" t="s">
        <v>50</v>
      </c>
      <c r="S23" s="12" t="s">
        <v>25</v>
      </c>
      <c r="T23" s="12">
        <v>300</v>
      </c>
    </row>
    <row r="24" spans="1:20">
      <c r="A24" s="11">
        <v>45663</v>
      </c>
      <c r="B24" s="12" t="s">
        <v>70</v>
      </c>
      <c r="C24" s="12" t="s">
        <v>71</v>
      </c>
      <c r="D24" s="12" t="s">
        <v>72</v>
      </c>
      <c r="E24" s="12">
        <v>300</v>
      </c>
      <c r="H24" s="16" t="s">
        <v>72</v>
      </c>
      <c r="I24" s="19">
        <v>830</v>
      </c>
      <c r="J24" s="19">
        <f>SUMIFS(E2:E213,D2:D213,"泉州")</f>
        <v>300</v>
      </c>
      <c r="K24" s="23">
        <f t="shared" si="1"/>
        <v>0.36144578313253</v>
      </c>
      <c r="L24" s="1" t="s">
        <v>73</v>
      </c>
      <c r="P24" s="11">
        <v>45663</v>
      </c>
      <c r="Q24" s="12" t="s">
        <v>52</v>
      </c>
      <c r="R24" s="12" t="s">
        <v>53</v>
      </c>
      <c r="S24" s="12" t="s">
        <v>54</v>
      </c>
      <c r="T24" s="12">
        <v>150</v>
      </c>
    </row>
    <row r="25" spans="1:20">
      <c r="A25" s="11">
        <v>45663</v>
      </c>
      <c r="B25" s="12" t="s">
        <v>6</v>
      </c>
      <c r="C25" s="12">
        <v>2620</v>
      </c>
      <c r="D25" s="12" t="s">
        <v>7</v>
      </c>
      <c r="E25" s="12">
        <v>100</v>
      </c>
      <c r="H25" s="16" t="s">
        <v>74</v>
      </c>
      <c r="I25" s="19">
        <v>181</v>
      </c>
      <c r="J25" s="19">
        <f>SUMIFS(E2:E213,D2:D213,"柳州")</f>
        <v>0</v>
      </c>
      <c r="K25" s="23">
        <f t="shared" si="1"/>
        <v>0</v>
      </c>
      <c r="P25" s="11">
        <v>45663</v>
      </c>
      <c r="Q25" s="12" t="s">
        <v>52</v>
      </c>
      <c r="R25" s="12" t="s">
        <v>55</v>
      </c>
      <c r="S25" s="12" t="s">
        <v>54</v>
      </c>
      <c r="T25" s="12">
        <v>150</v>
      </c>
    </row>
    <row r="26" spans="1:20">
      <c r="A26" s="11">
        <v>45664</v>
      </c>
      <c r="B26" s="12" t="s">
        <v>75</v>
      </c>
      <c r="C26" s="12">
        <v>717</v>
      </c>
      <c r="D26" s="12" t="s">
        <v>35</v>
      </c>
      <c r="E26" s="12">
        <v>150</v>
      </c>
      <c r="H26" s="16" t="s">
        <v>76</v>
      </c>
      <c r="I26" s="19">
        <v>0</v>
      </c>
      <c r="J26" s="19">
        <f>SUMIFS(E2:E213,D2:D213,"广州")</f>
        <v>0</v>
      </c>
      <c r="K26" s="23" t="e">
        <f t="shared" si="1"/>
        <v>#DIV/0!</v>
      </c>
      <c r="P26" s="11">
        <v>45663</v>
      </c>
      <c r="Q26" s="12" t="s">
        <v>47</v>
      </c>
      <c r="R26" s="12">
        <v>316</v>
      </c>
      <c r="S26" s="12" t="s">
        <v>67</v>
      </c>
      <c r="T26" s="12">
        <v>150</v>
      </c>
    </row>
    <row r="27" spans="1:20">
      <c r="A27" s="11">
        <v>45664</v>
      </c>
      <c r="B27" s="12" t="s">
        <v>77</v>
      </c>
      <c r="C27" s="12" t="s">
        <v>78</v>
      </c>
      <c r="D27" s="12" t="s">
        <v>79</v>
      </c>
      <c r="E27" s="12">
        <v>300</v>
      </c>
      <c r="H27" s="16" t="s">
        <v>80</v>
      </c>
      <c r="I27" s="19">
        <v>4</v>
      </c>
      <c r="J27" s="19">
        <f>SUMIFS(E2:E213,D2:D213,"肥西")</f>
        <v>0</v>
      </c>
      <c r="K27" s="23">
        <f t="shared" ref="K27:K44" si="2">J27/I27</f>
        <v>0</v>
      </c>
      <c r="P27" s="11">
        <v>45663</v>
      </c>
      <c r="Q27" s="12" t="s">
        <v>70</v>
      </c>
      <c r="R27" s="12" t="s">
        <v>71</v>
      </c>
      <c r="S27" s="12" t="s">
        <v>72</v>
      </c>
      <c r="T27" s="12">
        <v>300</v>
      </c>
    </row>
    <row r="28" spans="1:20">
      <c r="A28" s="11">
        <v>45665</v>
      </c>
      <c r="B28" s="12" t="s">
        <v>23</v>
      </c>
      <c r="C28" s="12" t="s">
        <v>81</v>
      </c>
      <c r="D28" s="12" t="s">
        <v>25</v>
      </c>
      <c r="E28" s="12">
        <v>300</v>
      </c>
      <c r="H28" s="16" t="s">
        <v>82</v>
      </c>
      <c r="I28" s="19">
        <v>60</v>
      </c>
      <c r="J28" s="19">
        <f>SUMIFS(E2:E213,D2:D213,"丽水")</f>
        <v>0</v>
      </c>
      <c r="K28" s="23">
        <f t="shared" si="2"/>
        <v>0</v>
      </c>
      <c r="P28" s="11">
        <v>45664</v>
      </c>
      <c r="Q28" s="12" t="s">
        <v>77</v>
      </c>
      <c r="R28" s="12" t="s">
        <v>78</v>
      </c>
      <c r="S28" s="12" t="s">
        <v>79</v>
      </c>
      <c r="T28" s="12">
        <v>300</v>
      </c>
    </row>
    <row r="29" spans="1:20">
      <c r="A29" s="11">
        <v>45665</v>
      </c>
      <c r="B29" s="12" t="s">
        <v>19</v>
      </c>
      <c r="C29" s="12" t="s">
        <v>83</v>
      </c>
      <c r="D29" s="12" t="s">
        <v>21</v>
      </c>
      <c r="E29" s="12">
        <v>250</v>
      </c>
      <c r="H29" s="16" t="s">
        <v>84</v>
      </c>
      <c r="I29" s="19">
        <v>265</v>
      </c>
      <c r="J29" s="19">
        <f>SUMIFS(E2:E213,D2:D213,"英德")</f>
        <v>0</v>
      </c>
      <c r="K29" s="23">
        <f t="shared" si="2"/>
        <v>0</v>
      </c>
      <c r="L29" s="1" t="s">
        <v>85</v>
      </c>
      <c r="P29" s="11">
        <v>45665</v>
      </c>
      <c r="Q29" s="12" t="s">
        <v>23</v>
      </c>
      <c r="R29" s="12" t="s">
        <v>81</v>
      </c>
      <c r="S29" s="12" t="s">
        <v>25</v>
      </c>
      <c r="T29" s="12">
        <v>300</v>
      </c>
    </row>
    <row r="30" spans="1:20">
      <c r="A30" s="11">
        <v>45665</v>
      </c>
      <c r="B30" s="12" t="s">
        <v>86</v>
      </c>
      <c r="C30" s="12" t="s">
        <v>87</v>
      </c>
      <c r="D30" s="12" t="s">
        <v>88</v>
      </c>
      <c r="E30" s="12">
        <v>150</v>
      </c>
      <c r="H30" s="19" t="s">
        <v>79</v>
      </c>
      <c r="I30" s="19">
        <v>59</v>
      </c>
      <c r="J30" s="19">
        <f>SUMIFS(E2:E213,D2:D213,"顺德")</f>
        <v>600</v>
      </c>
      <c r="K30" s="23">
        <f t="shared" si="2"/>
        <v>10.1694915254237</v>
      </c>
      <c r="L30" s="1" t="s">
        <v>89</v>
      </c>
      <c r="P30" s="11">
        <v>45665</v>
      </c>
      <c r="Q30" s="12" t="s">
        <v>19</v>
      </c>
      <c r="R30" s="12" t="s">
        <v>83</v>
      </c>
      <c r="S30" s="12" t="s">
        <v>21</v>
      </c>
      <c r="T30" s="12">
        <v>250</v>
      </c>
    </row>
    <row r="31" spans="1:20">
      <c r="A31" s="11">
        <v>45665</v>
      </c>
      <c r="B31" s="12" t="s">
        <v>90</v>
      </c>
      <c r="C31" s="12">
        <v>317</v>
      </c>
      <c r="D31" s="12" t="s">
        <v>88</v>
      </c>
      <c r="E31" s="12">
        <v>150</v>
      </c>
      <c r="H31" s="19" t="s">
        <v>91</v>
      </c>
      <c r="I31" s="19">
        <v>170</v>
      </c>
      <c r="J31" s="19">
        <f>SUMIFS(E2:E213,D2:D213,"鹤山")</f>
        <v>0</v>
      </c>
      <c r="K31" s="23">
        <f t="shared" si="2"/>
        <v>0</v>
      </c>
      <c r="L31" s="1" t="s">
        <v>92</v>
      </c>
      <c r="P31" s="11">
        <v>45665</v>
      </c>
      <c r="Q31" s="12" t="s">
        <v>86</v>
      </c>
      <c r="R31" s="12" t="s">
        <v>87</v>
      </c>
      <c r="S31" s="12" t="s">
        <v>88</v>
      </c>
      <c r="T31" s="12">
        <v>150</v>
      </c>
    </row>
    <row r="32" spans="1:20">
      <c r="A32" s="11">
        <v>45665</v>
      </c>
      <c r="B32" s="12" t="s">
        <v>15</v>
      </c>
      <c r="C32" s="12">
        <v>1505</v>
      </c>
      <c r="D32" s="12" t="s">
        <v>17</v>
      </c>
      <c r="E32" s="12">
        <v>150</v>
      </c>
      <c r="H32" s="19" t="s">
        <v>67</v>
      </c>
      <c r="I32" s="19">
        <v>207</v>
      </c>
      <c r="J32" s="19">
        <f>SUMIFS(E2:E214,D2:D214,"余姚")</f>
        <v>150</v>
      </c>
      <c r="K32" s="23">
        <f t="shared" si="2"/>
        <v>0.72463768115942</v>
      </c>
      <c r="L32" s="1" t="s">
        <v>93</v>
      </c>
      <c r="P32" s="11">
        <v>45665</v>
      </c>
      <c r="Q32" s="12" t="s">
        <v>90</v>
      </c>
      <c r="R32" s="12">
        <v>317</v>
      </c>
      <c r="S32" s="12" t="s">
        <v>88</v>
      </c>
      <c r="T32" s="12">
        <v>150</v>
      </c>
    </row>
    <row r="33" spans="1:20">
      <c r="A33" s="11">
        <v>45665</v>
      </c>
      <c r="B33" s="12" t="s">
        <v>94</v>
      </c>
      <c r="C33" s="12">
        <v>1015</v>
      </c>
      <c r="D33" s="12" t="s">
        <v>79</v>
      </c>
      <c r="E33" s="12">
        <v>300</v>
      </c>
      <c r="H33" s="19" t="s">
        <v>17</v>
      </c>
      <c r="I33" s="19">
        <v>668</v>
      </c>
      <c r="J33" s="19">
        <f>SUMIFS(E2:E215,D2:D215,"慈溪")</f>
        <v>450</v>
      </c>
      <c r="K33" s="23">
        <f t="shared" si="2"/>
        <v>0.673652694610778</v>
      </c>
      <c r="L33" s="1" t="s">
        <v>95</v>
      </c>
      <c r="P33" s="11">
        <v>45665</v>
      </c>
      <c r="Q33" s="12" t="s">
        <v>15</v>
      </c>
      <c r="R33" s="12">
        <v>1505</v>
      </c>
      <c r="S33" s="12" t="s">
        <v>17</v>
      </c>
      <c r="T33" s="12">
        <v>150</v>
      </c>
    </row>
    <row r="34" spans="8:20">
      <c r="H34" s="19" t="s">
        <v>21</v>
      </c>
      <c r="I34" s="19">
        <v>851</v>
      </c>
      <c r="J34" s="19">
        <f>SUMIFS(E2:E216,D2:D216,"惠州")</f>
        <v>450</v>
      </c>
      <c r="K34" s="23">
        <f t="shared" si="2"/>
        <v>0.528789659224442</v>
      </c>
      <c r="L34" s="1" t="s">
        <v>96</v>
      </c>
      <c r="P34" s="11">
        <v>45665</v>
      </c>
      <c r="Q34" s="12" t="s">
        <v>94</v>
      </c>
      <c r="R34" s="12">
        <v>1015</v>
      </c>
      <c r="S34" s="12" t="s">
        <v>79</v>
      </c>
      <c r="T34" s="12">
        <v>300</v>
      </c>
    </row>
    <row r="35" spans="8:12">
      <c r="H35" s="19" t="s">
        <v>97</v>
      </c>
      <c r="I35" s="19">
        <v>82</v>
      </c>
      <c r="J35" s="19">
        <f>SUMIFS(E2:E219,D2:D219,"南通")</f>
        <v>0</v>
      </c>
      <c r="K35" s="23">
        <f t="shared" si="2"/>
        <v>0</v>
      </c>
      <c r="L35" s="1" t="s">
        <v>98</v>
      </c>
    </row>
    <row r="36" spans="8:12">
      <c r="H36" s="19" t="s">
        <v>25</v>
      </c>
      <c r="I36" s="19">
        <v>357</v>
      </c>
      <c r="J36" s="19">
        <f>SUMIFS(E1:E221,D1:D221,"佛冈")</f>
        <v>900</v>
      </c>
      <c r="K36" s="23">
        <f t="shared" si="2"/>
        <v>2.52100840336134</v>
      </c>
      <c r="L36" s="1" t="s">
        <v>99</v>
      </c>
    </row>
    <row r="37" spans="8:12">
      <c r="H37" s="19" t="s">
        <v>100</v>
      </c>
      <c r="I37" s="19">
        <v>76</v>
      </c>
      <c r="J37" s="19">
        <f>SUMIFS(E2:E222,D2:D222,"连平")</f>
        <v>0</v>
      </c>
      <c r="K37" s="23">
        <f t="shared" si="2"/>
        <v>0</v>
      </c>
      <c r="L37" s="1" t="s">
        <v>101</v>
      </c>
    </row>
    <row r="38" spans="8:11">
      <c r="H38" s="19" t="s">
        <v>102</v>
      </c>
      <c r="I38" s="19">
        <v>4</v>
      </c>
      <c r="J38" s="19">
        <f>SUMIFS(E3:E223,D3:D223,"阳江")</f>
        <v>0</v>
      </c>
      <c r="K38" s="23">
        <f t="shared" si="2"/>
        <v>0</v>
      </c>
    </row>
    <row r="39" spans="8:12">
      <c r="H39" s="19" t="s">
        <v>103</v>
      </c>
      <c r="I39" s="19">
        <v>321</v>
      </c>
      <c r="J39" s="19">
        <f>SUMIFS(E4:E224,D4:D224,"梅州")</f>
        <v>0</v>
      </c>
      <c r="K39" s="23">
        <f t="shared" si="2"/>
        <v>0</v>
      </c>
      <c r="L39" s="1" t="s">
        <v>104</v>
      </c>
    </row>
    <row r="40" spans="8:12">
      <c r="H40" s="19" t="s">
        <v>105</v>
      </c>
      <c r="I40" s="19">
        <v>3</v>
      </c>
      <c r="J40" s="19">
        <f>SUMIFS(E5:E225,D5:D225,"江门")</f>
        <v>0</v>
      </c>
      <c r="K40" s="23">
        <f t="shared" si="2"/>
        <v>0</v>
      </c>
      <c r="L40" s="1" t="s">
        <v>106</v>
      </c>
    </row>
    <row r="41" spans="8:12">
      <c r="H41" s="19" t="s">
        <v>107</v>
      </c>
      <c r="I41" s="19">
        <v>343</v>
      </c>
      <c r="J41" s="19">
        <f>SUMIFS(E7:E227,D7:D227,"浏阳")</f>
        <v>0</v>
      </c>
      <c r="K41" s="23">
        <f>J41/I41</f>
        <v>0</v>
      </c>
      <c r="L41" s="1" t="s">
        <v>108</v>
      </c>
    </row>
    <row r="42" spans="8:11">
      <c r="H42" s="19" t="s">
        <v>88</v>
      </c>
      <c r="I42" s="19">
        <v>261</v>
      </c>
      <c r="J42" s="19">
        <f>SUMIFS(E2:E213,D2:D213,"金华")</f>
        <v>300</v>
      </c>
      <c r="K42" s="23">
        <f>J42/I42</f>
        <v>1.14942528735632</v>
      </c>
    </row>
    <row r="43" spans="8:12">
      <c r="H43" s="17" t="s">
        <v>56</v>
      </c>
      <c r="I43" s="17">
        <f>SUM(I18:I42)</f>
        <v>5292</v>
      </c>
      <c r="J43" s="17">
        <f>SUM(J21:J42)</f>
        <v>3450</v>
      </c>
      <c r="K43" s="22">
        <f>J43/I43</f>
        <v>0.651927437641723</v>
      </c>
      <c r="L43" s="1" t="s">
        <v>109</v>
      </c>
    </row>
    <row r="45" spans="16:20">
      <c r="P45" s="7"/>
      <c r="Q45" s="8"/>
      <c r="R45" s="9"/>
      <c r="S45" s="8"/>
      <c r="T45" s="8"/>
    </row>
    <row r="46" spans="16:20">
      <c r="P46" s="7"/>
      <c r="Q46" s="8"/>
      <c r="R46" s="9"/>
      <c r="S46" s="8"/>
      <c r="T46" s="8"/>
    </row>
    <row r="47" spans="16:20">
      <c r="P47" s="7"/>
      <c r="Q47" s="8"/>
      <c r="R47" s="9"/>
      <c r="S47" s="8"/>
      <c r="T47" s="8"/>
    </row>
    <row r="48" spans="16:20">
      <c r="P48" s="10"/>
      <c r="Q48" s="8"/>
      <c r="R48" s="9"/>
      <c r="S48" s="8"/>
      <c r="T48" s="8"/>
    </row>
    <row r="49" spans="16:20">
      <c r="P49" s="11"/>
      <c r="Q49" s="12"/>
      <c r="R49" s="12"/>
      <c r="S49" s="12"/>
      <c r="T49" s="12"/>
    </row>
    <row r="50" spans="16:20">
      <c r="P50" s="11"/>
      <c r="Q50" s="12"/>
      <c r="R50" s="12"/>
      <c r="S50" s="12"/>
      <c r="T50" s="12"/>
    </row>
    <row r="51" spans="16:20">
      <c r="P51" s="11"/>
      <c r="Q51" s="12"/>
      <c r="R51" s="12"/>
      <c r="S51" s="12"/>
      <c r="T51" s="12"/>
    </row>
    <row r="52" spans="16:20">
      <c r="P52" s="11"/>
      <c r="Q52" s="12"/>
      <c r="R52" s="12"/>
      <c r="S52" s="12"/>
      <c r="T52" s="12"/>
    </row>
    <row r="53" spans="16:20">
      <c r="P53" s="11"/>
      <c r="Q53" s="12"/>
      <c r="R53" s="12"/>
      <c r="S53" s="12"/>
      <c r="T53" s="12"/>
    </row>
    <row r="54" spans="16:20">
      <c r="P54" s="11"/>
      <c r="Q54" s="12"/>
      <c r="R54" s="12"/>
      <c r="S54" s="12"/>
      <c r="T54" s="12"/>
    </row>
    <row r="55" spans="16:20">
      <c r="P55" s="11"/>
      <c r="Q55" s="12"/>
      <c r="R55" s="12"/>
      <c r="S55" s="12"/>
      <c r="T55" s="12"/>
    </row>
    <row r="56" spans="16:20">
      <c r="P56" s="11"/>
      <c r="Q56" s="12"/>
      <c r="R56" s="12"/>
      <c r="S56" s="12"/>
      <c r="T56" s="12"/>
    </row>
    <row r="57" spans="16:20">
      <c r="P57" s="11"/>
      <c r="Q57" s="12"/>
      <c r="R57" s="12"/>
      <c r="S57" s="12"/>
      <c r="T57" s="12"/>
    </row>
    <row r="58" spans="16:20">
      <c r="P58" s="11"/>
      <c r="Q58" s="12"/>
      <c r="R58" s="12"/>
      <c r="S58" s="12"/>
      <c r="T58" s="12"/>
    </row>
    <row r="59" spans="16:20">
      <c r="P59" s="11"/>
      <c r="Q59" s="12"/>
      <c r="R59" s="12"/>
      <c r="S59" s="12"/>
      <c r="T59" s="12"/>
    </row>
    <row r="60" spans="16:20">
      <c r="P60" s="11"/>
      <c r="Q60" s="12"/>
      <c r="R60" s="12"/>
      <c r="S60" s="12"/>
      <c r="T60" s="12"/>
    </row>
  </sheetData>
  <autoFilter xmlns:etc="http://www.wps.cn/officeDocument/2017/etCustomData" ref="A1:E33" etc:filterBottomFollowUsedRange="0">
    <extLst/>
  </autoFilter>
  <mergeCells count="2">
    <mergeCell ref="H1:K1"/>
    <mergeCell ref="H19:K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tayce</dc:creator>
  <cp:lastModifiedBy>Tayce</cp:lastModifiedBy>
  <dcterms:created xsi:type="dcterms:W3CDTF">2025-01-03T09:45:00Z</dcterms:created>
  <dcterms:modified xsi:type="dcterms:W3CDTF">2025-01-09T12:38:26Z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69F5FBF96A4653DED2EF7567A14AD8E3_41</vt:lpwstr>
  </property>
  <property fmtid="{D5CDD505-2E9C-101B-9397-08002B2CF9AE}" pid="3" name="KSOProductBuildVer">
    <vt:lpwstr>2052-6.14.0.8924</vt:lpwstr>
  </property>
</Properties>
</file>