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1"/>
  </bookViews>
  <sheets>
    <sheet name="1月份" sheetId="1" r:id="rId1"/>
    <sheet name="2月份" sheetId="2" r:id="rId2"/>
  </sheets>
  <definedNames>
    <definedName name="_xlnm._FilterDatabase" localSheetId="0" hidden="1">'1月份'!$A$1:$E$112</definedName>
    <definedName name="_xlnm._FilterDatabase" localSheetId="1" hidden="1">'2月份'!$A$1:$F$43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<sst xmlns="http://schemas.openxmlformats.org/spreadsheetml/2006/main" count="566" uniqueCount="222">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</sst>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topLeftCell="A93" workbookViewId="0">
      <selection activeCell="A101" sqref="A101:E113"/>
    </sheetView>
  </sheetViews>
  <sheetFormatPr defaultColWidth="9.23076923076923" defaultRowHeight="16.8"/>
  <cols>
    <col min="1" max="1" width="9.23076923076923" style="12"/>
    <col min="2" max="2" width="28.0769230769231" style="12" customWidth="1"/>
    <col min="3" max="3" width="9.61538461538461" style="12"/>
    <col min="4" max="5" width="9.23076923076923" style="12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28" t="s">
        <v>2</v>
      </c>
      <c r="D1" s="3" t="s">
        <v>3</v>
      </c>
      <c r="E1" s="3" t="s">
        <v>4</v>
      </c>
      <c r="H1" s="14" t="s">
        <v>5</v>
      </c>
      <c r="I1" s="14"/>
      <c r="J1" s="14"/>
      <c r="K1" s="14"/>
    </row>
    <row r="2" ht="17.6" spans="1:11">
      <c r="A2" s="29">
        <v>45659</v>
      </c>
      <c r="B2" s="30" t="s">
        <v>6</v>
      </c>
      <c r="C2" s="30">
        <v>2515</v>
      </c>
      <c r="D2" s="30" t="s">
        <v>7</v>
      </c>
      <c r="E2" s="30">
        <v>100</v>
      </c>
      <c r="H2" s="17" t="s">
        <v>3</v>
      </c>
      <c r="I2" s="17" t="s">
        <v>8</v>
      </c>
      <c r="J2" s="17" t="s">
        <v>9</v>
      </c>
      <c r="K2" s="23" t="s">
        <v>10</v>
      </c>
    </row>
    <row r="3" spans="1:11">
      <c r="A3" s="29">
        <v>45659</v>
      </c>
      <c r="B3" s="30" t="s">
        <v>11</v>
      </c>
      <c r="C3" s="30" t="s">
        <v>12</v>
      </c>
      <c r="D3" s="30" t="s">
        <v>13</v>
      </c>
      <c r="E3" s="30">
        <v>150</v>
      </c>
      <c r="H3" s="33" t="s">
        <v>14</v>
      </c>
      <c r="I3" s="33">
        <v>255</v>
      </c>
      <c r="J3" s="33">
        <f>SUMIFS(E2:E215,D2:D215,"嘉兴")</f>
        <v>0</v>
      </c>
      <c r="K3" s="34">
        <f t="shared" ref="K3:K17" si="0">J3/I3</f>
        <v>0</v>
      </c>
    </row>
    <row r="4" spans="1:11">
      <c r="A4" s="29">
        <v>45659</v>
      </c>
      <c r="B4" s="6" t="s">
        <v>15</v>
      </c>
      <c r="C4" s="31" t="s">
        <v>16</v>
      </c>
      <c r="D4" s="6" t="s">
        <v>17</v>
      </c>
      <c r="E4" s="6">
        <v>150</v>
      </c>
      <c r="H4" s="33" t="s">
        <v>18</v>
      </c>
      <c r="I4" s="33">
        <v>372</v>
      </c>
      <c r="J4" s="33">
        <f>SUMIFS(E2:E215,D2:D215,"南昌")</f>
        <v>400</v>
      </c>
      <c r="K4" s="34">
        <f t="shared" si="0"/>
        <v>1.0752688172043</v>
      </c>
    </row>
    <row r="5" spans="1:11">
      <c r="A5" s="29">
        <v>45659</v>
      </c>
      <c r="B5" s="6" t="s">
        <v>19</v>
      </c>
      <c r="C5" s="31" t="s">
        <v>20</v>
      </c>
      <c r="D5" s="6" t="s">
        <v>21</v>
      </c>
      <c r="E5" s="6">
        <v>200</v>
      </c>
      <c r="H5" s="33" t="s">
        <v>22</v>
      </c>
      <c r="I5" s="33">
        <v>1396</v>
      </c>
      <c r="J5" s="33">
        <f>SUMIFS(E2:E215,D2:D215,"宁波")</f>
        <v>350</v>
      </c>
      <c r="K5" s="34">
        <f t="shared" si="0"/>
        <v>0.250716332378223</v>
      </c>
    </row>
    <row r="6" spans="1:11">
      <c r="A6" s="29">
        <v>45659</v>
      </c>
      <c r="B6" s="6" t="s">
        <v>23</v>
      </c>
      <c r="C6" s="31" t="s">
        <v>24</v>
      </c>
      <c r="D6" s="6" t="s">
        <v>25</v>
      </c>
      <c r="E6" s="6">
        <v>300</v>
      </c>
      <c r="H6" s="33" t="s">
        <v>26</v>
      </c>
      <c r="I6" s="33">
        <v>886</v>
      </c>
      <c r="J6" s="33">
        <f>SUMIFS(E2:E215,D2:D215,"天津")</f>
        <v>1050</v>
      </c>
      <c r="K6" s="34">
        <f t="shared" si="0"/>
        <v>1.18510158013544</v>
      </c>
    </row>
    <row r="7" spans="1:11">
      <c r="A7" s="29">
        <v>45659</v>
      </c>
      <c r="B7" s="6" t="s">
        <v>27</v>
      </c>
      <c r="C7" s="31" t="s">
        <v>28</v>
      </c>
      <c r="D7" s="6" t="s">
        <v>22</v>
      </c>
      <c r="E7" s="6">
        <v>50</v>
      </c>
      <c r="H7" s="33" t="s">
        <v>7</v>
      </c>
      <c r="I7" s="33">
        <v>1630</v>
      </c>
      <c r="J7" s="33">
        <f>SUMIFS(E2:E215,D2:D215,"郑州")</f>
        <v>600</v>
      </c>
      <c r="K7" s="34">
        <f t="shared" si="0"/>
        <v>0.368098159509202</v>
      </c>
    </row>
    <row r="8" spans="1:11">
      <c r="A8" s="29">
        <v>45659</v>
      </c>
      <c r="B8" s="6" t="s">
        <v>29</v>
      </c>
      <c r="C8" s="31" t="s">
        <v>30</v>
      </c>
      <c r="D8" s="6" t="s">
        <v>31</v>
      </c>
      <c r="E8" s="6">
        <v>150</v>
      </c>
      <c r="H8" s="33" t="s">
        <v>31</v>
      </c>
      <c r="I8" s="33">
        <v>356</v>
      </c>
      <c r="J8" s="33">
        <f>SUMIFS(E2:E215,D2:D215,"中山")</f>
        <v>1950</v>
      </c>
      <c r="K8" s="34">
        <f t="shared" si="0"/>
        <v>5.47752808988764</v>
      </c>
    </row>
    <row r="9" spans="1:11">
      <c r="A9" s="29">
        <v>45659</v>
      </c>
      <c r="B9" s="6" t="s">
        <v>32</v>
      </c>
      <c r="C9" s="31" t="s">
        <v>33</v>
      </c>
      <c r="D9" s="6" t="s">
        <v>34</v>
      </c>
      <c r="E9" s="6">
        <v>250</v>
      </c>
      <c r="H9" s="33" t="s">
        <v>35</v>
      </c>
      <c r="I9" s="33">
        <v>497</v>
      </c>
      <c r="J9" s="33">
        <f>SUMIFS(E2:E215,D2:D215,"珠海")</f>
        <v>150</v>
      </c>
      <c r="K9" s="34">
        <f t="shared" si="0"/>
        <v>0.301810865191147</v>
      </c>
    </row>
    <row r="10" spans="1:11">
      <c r="A10" s="29">
        <v>45659</v>
      </c>
      <c r="B10" s="6" t="s">
        <v>36</v>
      </c>
      <c r="C10" s="31" t="s">
        <v>37</v>
      </c>
      <c r="D10" s="6" t="s">
        <v>26</v>
      </c>
      <c r="E10" s="6">
        <v>150</v>
      </c>
      <c r="H10" s="33" t="s">
        <v>38</v>
      </c>
      <c r="I10" s="33">
        <v>4904</v>
      </c>
      <c r="J10" s="33">
        <f>SUMIFS(E2:E215,D2:D215,"上海")</f>
        <v>750</v>
      </c>
      <c r="K10" s="34">
        <f t="shared" si="0"/>
        <v>0.152936378466558</v>
      </c>
    </row>
    <row r="11" spans="1:11">
      <c r="A11" s="29">
        <v>45659</v>
      </c>
      <c r="B11" s="6" t="s">
        <v>39</v>
      </c>
      <c r="C11" s="31" t="s">
        <v>40</v>
      </c>
      <c r="D11" s="6" t="s">
        <v>26</v>
      </c>
      <c r="E11" s="6">
        <v>150</v>
      </c>
      <c r="H11" s="33" t="s">
        <v>41</v>
      </c>
      <c r="I11" s="33">
        <v>837</v>
      </c>
      <c r="J11" s="33">
        <f>SUMIFS(E2:E215,D2:D215,"北京")</f>
        <v>1200</v>
      </c>
      <c r="K11" s="34">
        <f t="shared" si="0"/>
        <v>1.4336917562724</v>
      </c>
    </row>
    <row r="12" spans="1:11">
      <c r="A12" s="5">
        <v>45660</v>
      </c>
      <c r="B12" s="6" t="s">
        <v>42</v>
      </c>
      <c r="C12" s="31" t="s">
        <v>43</v>
      </c>
      <c r="D12" s="6" t="s">
        <v>34</v>
      </c>
      <c r="E12" s="6">
        <v>150</v>
      </c>
      <c r="H12" s="33" t="s">
        <v>34</v>
      </c>
      <c r="I12" s="33">
        <v>1139</v>
      </c>
      <c r="J12" s="33">
        <f>SUMIFS(E2:E215,D2:D215,"南京")</f>
        <v>400</v>
      </c>
      <c r="K12" s="34">
        <f t="shared" si="0"/>
        <v>0.351185250219491</v>
      </c>
    </row>
    <row r="13" spans="1:11">
      <c r="A13" s="5">
        <v>45660</v>
      </c>
      <c r="B13" s="6" t="s">
        <v>44</v>
      </c>
      <c r="C13" s="31" t="s">
        <v>45</v>
      </c>
      <c r="D13" s="6" t="s">
        <v>38</v>
      </c>
      <c r="E13" s="6">
        <v>150</v>
      </c>
      <c r="H13" s="18" t="s">
        <v>46</v>
      </c>
      <c r="I13" s="18">
        <v>400</v>
      </c>
      <c r="J13" s="33">
        <f>SUMIFS(E2:E215,D2:D215,"温州")</f>
        <v>0</v>
      </c>
      <c r="K13" s="34">
        <f t="shared" si="0"/>
        <v>0</v>
      </c>
    </row>
    <row r="14" spans="1:11">
      <c r="A14" s="5">
        <v>45660</v>
      </c>
      <c r="B14" s="6" t="s">
        <v>47</v>
      </c>
      <c r="C14" s="31" t="s">
        <v>48</v>
      </c>
      <c r="D14" s="6" t="s">
        <v>17</v>
      </c>
      <c r="E14" s="6">
        <v>150</v>
      </c>
      <c r="H14" s="18" t="s">
        <v>49</v>
      </c>
      <c r="I14" s="18">
        <v>6134</v>
      </c>
      <c r="J14" s="33">
        <f>SUMIFS(E2:E215,D2:D215,"深圳")</f>
        <v>1150</v>
      </c>
      <c r="K14" s="34">
        <f t="shared" si="0"/>
        <v>0.187479621780241</v>
      </c>
    </row>
    <row r="15" spans="1:11">
      <c r="A15" s="5">
        <v>45663</v>
      </c>
      <c r="B15" s="6" t="s">
        <v>23</v>
      </c>
      <c r="C15" s="6" t="s">
        <v>50</v>
      </c>
      <c r="D15" s="6" t="s">
        <v>25</v>
      </c>
      <c r="E15" s="6">
        <v>300</v>
      </c>
      <c r="H15" s="18" t="s">
        <v>51</v>
      </c>
      <c r="I15" s="18">
        <v>4900</v>
      </c>
      <c r="J15" s="33">
        <f>SUMIFS(E2:E215,D2:D215,"西安")</f>
        <v>2660</v>
      </c>
      <c r="K15" s="34">
        <f t="shared" si="0"/>
        <v>0.542857142857143</v>
      </c>
    </row>
    <row r="16" spans="1:11">
      <c r="A16" s="5">
        <v>45663</v>
      </c>
      <c r="B16" s="6" t="s">
        <v>52</v>
      </c>
      <c r="C16" s="6" t="s">
        <v>53</v>
      </c>
      <c r="D16" s="6" t="s">
        <v>54</v>
      </c>
      <c r="E16" s="6">
        <v>150</v>
      </c>
      <c r="H16" s="18" t="s">
        <v>13</v>
      </c>
      <c r="I16" s="18">
        <v>4541</v>
      </c>
      <c r="J16" s="33">
        <f>SUMIFS(E2:E215,D2:D215,"合肥")</f>
        <v>1500</v>
      </c>
      <c r="K16" s="34">
        <f t="shared" si="0"/>
        <v>0.330323717242898</v>
      </c>
    </row>
    <row r="17" spans="1:13">
      <c r="A17" s="5">
        <v>45663</v>
      </c>
      <c r="B17" s="6" t="s">
        <v>52</v>
      </c>
      <c r="C17" s="6" t="s">
        <v>55</v>
      </c>
      <c r="D17" s="6" t="s">
        <v>54</v>
      </c>
      <c r="E17" s="6">
        <v>150</v>
      </c>
      <c r="H17" s="20" t="s">
        <v>56</v>
      </c>
      <c r="I17" s="20">
        <f>SUM(I3:I16)</f>
        <v>28247</v>
      </c>
      <c r="J17" s="20">
        <f>SUM(J3:J16)</f>
        <v>12160</v>
      </c>
      <c r="K17" s="25">
        <f t="shared" si="0"/>
        <v>0.430488193436471</v>
      </c>
      <c r="L17" s="2" t="s">
        <v>57</v>
      </c>
      <c r="M17" s="2">
        <v>300</v>
      </c>
    </row>
    <row r="18" spans="1:5">
      <c r="A18" s="5">
        <v>45663</v>
      </c>
      <c r="B18" s="6" t="s">
        <v>58</v>
      </c>
      <c r="C18" s="6" t="s">
        <v>59</v>
      </c>
      <c r="D18" s="6" t="s">
        <v>31</v>
      </c>
      <c r="E18" s="6">
        <v>300</v>
      </c>
    </row>
    <row r="19" ht="17.6" spans="1:11">
      <c r="A19" s="5">
        <v>45663</v>
      </c>
      <c r="B19" s="6" t="s">
        <v>58</v>
      </c>
      <c r="C19" s="6" t="s">
        <v>60</v>
      </c>
      <c r="D19" s="6" t="s">
        <v>31</v>
      </c>
      <c r="E19" s="6">
        <v>300</v>
      </c>
      <c r="H19" s="21" t="s">
        <v>61</v>
      </c>
      <c r="I19" s="21"/>
      <c r="J19" s="21"/>
      <c r="K19" s="21"/>
    </row>
    <row r="20" ht="17.6" spans="1:11">
      <c r="A20" s="5">
        <v>45663</v>
      </c>
      <c r="B20" s="6" t="s">
        <v>29</v>
      </c>
      <c r="C20" s="6" t="s">
        <v>62</v>
      </c>
      <c r="D20" s="6" t="s">
        <v>31</v>
      </c>
      <c r="E20" s="6">
        <v>300</v>
      </c>
      <c r="H20" s="17" t="s">
        <v>3</v>
      </c>
      <c r="I20" s="17" t="s">
        <v>8</v>
      </c>
      <c r="J20" s="17" t="s">
        <v>9</v>
      </c>
      <c r="K20" s="17" t="s">
        <v>63</v>
      </c>
    </row>
    <row r="21" spans="1:11">
      <c r="A21" s="5">
        <v>45663</v>
      </c>
      <c r="B21" s="6" t="s">
        <v>27</v>
      </c>
      <c r="C21" s="6" t="s">
        <v>64</v>
      </c>
      <c r="D21" s="6" t="s">
        <v>22</v>
      </c>
      <c r="E21" s="6">
        <v>300</v>
      </c>
      <c r="H21" s="18" t="s">
        <v>54</v>
      </c>
      <c r="I21" s="22">
        <v>435</v>
      </c>
      <c r="J21" s="22">
        <f>SUMIFS(E2:E215,D2:D215,"佛山")</f>
        <v>450</v>
      </c>
      <c r="K21" s="27">
        <f t="shared" ref="K21:K26" si="1">J21/I21</f>
        <v>1.03448275862069</v>
      </c>
    </row>
    <row r="22" spans="1:11">
      <c r="A22" s="5">
        <v>45663</v>
      </c>
      <c r="B22" s="6" t="s">
        <v>65</v>
      </c>
      <c r="C22" s="6">
        <v>1631</v>
      </c>
      <c r="D22" s="6" t="s">
        <v>26</v>
      </c>
      <c r="E22" s="6">
        <v>150</v>
      </c>
      <c r="H22" s="18" t="s">
        <v>66</v>
      </c>
      <c r="I22" s="22">
        <v>17</v>
      </c>
      <c r="J22" s="22">
        <f>SUMIFS(E2:E215,D2:D215,"漳州")</f>
        <v>200</v>
      </c>
      <c r="K22" s="27">
        <f t="shared" si="1"/>
        <v>11.7647058823529</v>
      </c>
    </row>
    <row r="23" spans="1:12">
      <c r="A23" s="5">
        <v>45663</v>
      </c>
      <c r="B23" s="6" t="s">
        <v>47</v>
      </c>
      <c r="C23" s="6">
        <v>316</v>
      </c>
      <c r="D23" s="6" t="s">
        <v>67</v>
      </c>
      <c r="E23" s="6">
        <v>150</v>
      </c>
      <c r="H23" s="18" t="s">
        <v>68</v>
      </c>
      <c r="I23" s="22">
        <v>98</v>
      </c>
      <c r="J23" s="22">
        <f>SUMIFS(E2:E215,D2:D215,"福州")</f>
        <v>0</v>
      </c>
      <c r="K23" s="27">
        <f t="shared" si="1"/>
        <v>0</v>
      </c>
      <c r="L23" s="2" t="s">
        <v>69</v>
      </c>
    </row>
    <row r="24" spans="1:12">
      <c r="A24" s="5">
        <v>45663</v>
      </c>
      <c r="B24" s="6" t="s">
        <v>70</v>
      </c>
      <c r="C24" s="6" t="s">
        <v>71</v>
      </c>
      <c r="D24" s="6" t="s">
        <v>72</v>
      </c>
      <c r="E24" s="6">
        <v>300</v>
      </c>
      <c r="H24" s="18" t="s">
        <v>72</v>
      </c>
      <c r="I24" s="22">
        <v>830</v>
      </c>
      <c r="J24" s="22">
        <f>SUMIFS(E2:E215,D2:D215,"泉州")</f>
        <v>300</v>
      </c>
      <c r="K24" s="27">
        <f t="shared" si="1"/>
        <v>0.36144578313253</v>
      </c>
      <c r="L24" s="2" t="s">
        <v>73</v>
      </c>
    </row>
    <row r="25" spans="1:11">
      <c r="A25" s="5">
        <v>45663</v>
      </c>
      <c r="B25" s="6" t="s">
        <v>6</v>
      </c>
      <c r="C25" s="6">
        <v>2620</v>
      </c>
      <c r="D25" s="6" t="s">
        <v>7</v>
      </c>
      <c r="E25" s="6">
        <v>100</v>
      </c>
      <c r="H25" s="18" t="s">
        <v>74</v>
      </c>
      <c r="I25" s="22">
        <v>181</v>
      </c>
      <c r="J25" s="22">
        <f>SUMIFS(E2:E215,D2:D215,"柳州")</f>
        <v>0</v>
      </c>
      <c r="K25" s="27">
        <f t="shared" si="1"/>
        <v>0</v>
      </c>
    </row>
    <row r="26" spans="1:11">
      <c r="A26" s="5">
        <v>45664</v>
      </c>
      <c r="B26" s="6" t="s">
        <v>75</v>
      </c>
      <c r="C26" s="6">
        <v>717</v>
      </c>
      <c r="D26" s="6" t="s">
        <v>35</v>
      </c>
      <c r="E26" s="6">
        <v>150</v>
      </c>
      <c r="H26" s="18" t="s">
        <v>76</v>
      </c>
      <c r="I26" s="22">
        <v>0</v>
      </c>
      <c r="J26" s="22">
        <f>SUMIFS(E2:E215,D2:D215,"广州")</f>
        <v>0</v>
      </c>
      <c r="K26" s="27" t="e">
        <f t="shared" si="1"/>
        <v>#DIV/0!</v>
      </c>
    </row>
    <row r="27" spans="1:11">
      <c r="A27" s="5">
        <v>45664</v>
      </c>
      <c r="B27" s="6" t="s">
        <v>77</v>
      </c>
      <c r="C27" s="6" t="s">
        <v>78</v>
      </c>
      <c r="D27" s="6" t="s">
        <v>79</v>
      </c>
      <c r="E27" s="6">
        <v>300</v>
      </c>
      <c r="H27" s="18" t="s">
        <v>80</v>
      </c>
      <c r="I27" s="22">
        <v>4</v>
      </c>
      <c r="J27" s="22">
        <f>SUMIFS(E2:E215,D2:D215,"肥西")</f>
        <v>150</v>
      </c>
      <c r="K27" s="27">
        <f t="shared" ref="K27:K44" si="2">J27/I27</f>
        <v>37.5</v>
      </c>
    </row>
    <row r="28" spans="1:11">
      <c r="A28" s="5">
        <v>45665</v>
      </c>
      <c r="B28" s="6" t="s">
        <v>23</v>
      </c>
      <c r="C28" s="6" t="s">
        <v>81</v>
      </c>
      <c r="D28" s="6" t="s">
        <v>25</v>
      </c>
      <c r="E28" s="6">
        <v>300</v>
      </c>
      <c r="H28" s="18" t="s">
        <v>82</v>
      </c>
      <c r="I28" s="22">
        <v>60</v>
      </c>
      <c r="J28" s="22">
        <f>SUMIFS(E2:E215,D2:D215,"丽水")</f>
        <v>0</v>
      </c>
      <c r="K28" s="27">
        <f t="shared" si="2"/>
        <v>0</v>
      </c>
    </row>
    <row r="29" spans="1:12">
      <c r="A29" s="5">
        <v>45665</v>
      </c>
      <c r="B29" s="6" t="s">
        <v>19</v>
      </c>
      <c r="C29" s="6" t="s">
        <v>83</v>
      </c>
      <c r="D29" s="6" t="s">
        <v>21</v>
      </c>
      <c r="E29" s="6">
        <v>250</v>
      </c>
      <c r="H29" s="18" t="s">
        <v>84</v>
      </c>
      <c r="I29" s="22">
        <v>265</v>
      </c>
      <c r="J29" s="22">
        <f>SUMIFS(E2:E215,D2:D215,"英德")</f>
        <v>450</v>
      </c>
      <c r="K29" s="27">
        <f t="shared" si="2"/>
        <v>1.69811320754717</v>
      </c>
      <c r="L29" s="2" t="s">
        <v>85</v>
      </c>
    </row>
    <row r="30" spans="1:12">
      <c r="A30" s="5">
        <v>45665</v>
      </c>
      <c r="B30" s="6" t="s">
        <v>86</v>
      </c>
      <c r="C30" s="6" t="s">
        <v>87</v>
      </c>
      <c r="D30" s="6" t="s">
        <v>88</v>
      </c>
      <c r="E30" s="6">
        <v>150</v>
      </c>
      <c r="H30" s="22" t="s">
        <v>79</v>
      </c>
      <c r="I30" s="22">
        <v>59</v>
      </c>
      <c r="J30" s="22">
        <f>SUMIFS(E2:E215,D2:D215,"顺德")</f>
        <v>600</v>
      </c>
      <c r="K30" s="27">
        <f t="shared" si="2"/>
        <v>10.1694915254237</v>
      </c>
      <c r="L30" s="2" t="s">
        <v>89</v>
      </c>
    </row>
    <row r="31" spans="1:12">
      <c r="A31" s="5">
        <v>45665</v>
      </c>
      <c r="B31" s="6" t="s">
        <v>90</v>
      </c>
      <c r="C31" s="6">
        <v>317</v>
      </c>
      <c r="D31" s="6" t="s">
        <v>88</v>
      </c>
      <c r="E31" s="6">
        <v>150</v>
      </c>
      <c r="H31" s="22" t="s">
        <v>91</v>
      </c>
      <c r="I31" s="22">
        <v>170</v>
      </c>
      <c r="J31" s="22">
        <f>SUMIFS(E2:E215,D2:D215,"鹤山")</f>
        <v>0</v>
      </c>
      <c r="K31" s="27">
        <f t="shared" si="2"/>
        <v>0</v>
      </c>
      <c r="L31" s="2" t="s">
        <v>92</v>
      </c>
    </row>
    <row r="32" spans="1:12">
      <c r="A32" s="5">
        <v>45665</v>
      </c>
      <c r="B32" s="6" t="s">
        <v>15</v>
      </c>
      <c r="C32" s="6">
        <v>1505</v>
      </c>
      <c r="D32" s="6" t="s">
        <v>17</v>
      </c>
      <c r="E32" s="6">
        <v>150</v>
      </c>
      <c r="H32" s="22" t="s">
        <v>67</v>
      </c>
      <c r="I32" s="22">
        <v>207</v>
      </c>
      <c r="J32" s="22">
        <f>SUMIFS(E2:E216,D2:D216,"余姚")</f>
        <v>150</v>
      </c>
      <c r="K32" s="27">
        <f t="shared" si="2"/>
        <v>0.72463768115942</v>
      </c>
      <c r="L32" s="2" t="s">
        <v>93</v>
      </c>
    </row>
    <row r="33" spans="1:12">
      <c r="A33" s="5">
        <v>45665</v>
      </c>
      <c r="B33" s="6" t="s">
        <v>94</v>
      </c>
      <c r="C33" s="6">
        <v>1015</v>
      </c>
      <c r="D33" s="6" t="s">
        <v>79</v>
      </c>
      <c r="E33" s="6">
        <v>300</v>
      </c>
      <c r="H33" s="22" t="s">
        <v>17</v>
      </c>
      <c r="I33" s="22">
        <v>668</v>
      </c>
      <c r="J33" s="22">
        <f>SUMIFS(E2:E217,D2:D217,"慈溪")</f>
        <v>850</v>
      </c>
      <c r="K33" s="27">
        <f t="shared" si="2"/>
        <v>1.27245508982036</v>
      </c>
      <c r="L33" s="2" t="s">
        <v>95</v>
      </c>
    </row>
    <row r="34" spans="1:12">
      <c r="A34" s="5">
        <v>45666</v>
      </c>
      <c r="B34" s="6" t="s">
        <v>96</v>
      </c>
      <c r="C34" s="6" t="s">
        <v>97</v>
      </c>
      <c r="D34" s="6" t="s">
        <v>66</v>
      </c>
      <c r="E34" s="6">
        <v>200</v>
      </c>
      <c r="H34" s="22" t="s">
        <v>21</v>
      </c>
      <c r="I34" s="22">
        <v>851</v>
      </c>
      <c r="J34" s="22">
        <f>SUMIFS(E2:E218,D2:D218,"惠州")</f>
        <v>1950</v>
      </c>
      <c r="K34" s="27">
        <f t="shared" si="2"/>
        <v>2.29142185663925</v>
      </c>
      <c r="L34" s="2" t="s">
        <v>98</v>
      </c>
    </row>
    <row r="35" spans="1:12">
      <c r="A35" s="5">
        <v>45667</v>
      </c>
      <c r="B35" s="6" t="s">
        <v>99</v>
      </c>
      <c r="C35" s="6" t="s">
        <v>100</v>
      </c>
      <c r="D35" s="6" t="s">
        <v>41</v>
      </c>
      <c r="E35" s="6">
        <v>300</v>
      </c>
      <c r="H35" s="22" t="s">
        <v>101</v>
      </c>
      <c r="I35" s="22">
        <v>82</v>
      </c>
      <c r="J35" s="22">
        <f>SUMIFS(E2:E221,D2:D221,"南通")</f>
        <v>0</v>
      </c>
      <c r="K35" s="27">
        <f t="shared" si="2"/>
        <v>0</v>
      </c>
      <c r="L35" s="2" t="s">
        <v>102</v>
      </c>
    </row>
    <row r="36" spans="1:12">
      <c r="A36" s="5">
        <v>45667</v>
      </c>
      <c r="B36" s="6" t="s">
        <v>103</v>
      </c>
      <c r="C36" s="6" t="s">
        <v>104</v>
      </c>
      <c r="D36" s="6" t="s">
        <v>21</v>
      </c>
      <c r="E36" s="6">
        <v>200</v>
      </c>
      <c r="H36" s="22" t="s">
        <v>25</v>
      </c>
      <c r="I36" s="22">
        <v>357</v>
      </c>
      <c r="J36" s="22">
        <f>SUMIFS(E1:E223,D1:D223,"佛冈")</f>
        <v>1200</v>
      </c>
      <c r="K36" s="27">
        <f t="shared" si="2"/>
        <v>3.36134453781513</v>
      </c>
      <c r="L36" s="2" t="s">
        <v>105</v>
      </c>
    </row>
    <row r="37" spans="1:12">
      <c r="A37" s="5">
        <v>45667</v>
      </c>
      <c r="B37" s="6" t="s">
        <v>106</v>
      </c>
      <c r="C37" s="6" t="s">
        <v>107</v>
      </c>
      <c r="D37" s="6" t="s">
        <v>13</v>
      </c>
      <c r="E37" s="6">
        <v>150</v>
      </c>
      <c r="H37" s="22" t="s">
        <v>108</v>
      </c>
      <c r="I37" s="22">
        <v>76</v>
      </c>
      <c r="J37" s="22">
        <f>SUMIFS(E2:E224,D2:D224,"连平")</f>
        <v>0</v>
      </c>
      <c r="K37" s="27">
        <f t="shared" si="2"/>
        <v>0</v>
      </c>
      <c r="L37" s="2" t="s">
        <v>109</v>
      </c>
    </row>
    <row r="38" spans="1:11">
      <c r="A38" s="5">
        <v>45667</v>
      </c>
      <c r="B38" s="6" t="s">
        <v>11</v>
      </c>
      <c r="C38" s="6" t="s">
        <v>110</v>
      </c>
      <c r="D38" s="6" t="s">
        <v>13</v>
      </c>
      <c r="E38" s="6">
        <v>150</v>
      </c>
      <c r="H38" s="22" t="s">
        <v>111</v>
      </c>
      <c r="I38" s="22">
        <v>4</v>
      </c>
      <c r="J38" s="22">
        <f>SUMIFS(E3:E225,D3:D225,"阳江")</f>
        <v>450</v>
      </c>
      <c r="K38" s="27">
        <f t="shared" si="2"/>
        <v>112.5</v>
      </c>
    </row>
    <row r="39" spans="1:12">
      <c r="A39" s="5">
        <v>45667</v>
      </c>
      <c r="B39" s="6" t="s">
        <v>65</v>
      </c>
      <c r="C39" s="6">
        <v>1506</v>
      </c>
      <c r="D39" s="6" t="s">
        <v>26</v>
      </c>
      <c r="E39" s="6">
        <v>150</v>
      </c>
      <c r="H39" s="22" t="s">
        <v>112</v>
      </c>
      <c r="I39" s="22">
        <v>321</v>
      </c>
      <c r="J39" s="22">
        <f>SUMIFS(E4:E226,D4:D226,"梅州")</f>
        <v>0</v>
      </c>
      <c r="K39" s="27">
        <f t="shared" si="2"/>
        <v>0</v>
      </c>
      <c r="L39" s="2" t="s">
        <v>113</v>
      </c>
    </row>
    <row r="40" spans="1:12">
      <c r="A40" s="5">
        <v>45667</v>
      </c>
      <c r="B40" s="6" t="s">
        <v>114</v>
      </c>
      <c r="C40" s="6">
        <v>932</v>
      </c>
      <c r="D40" s="6" t="s">
        <v>7</v>
      </c>
      <c r="E40" s="6">
        <v>100</v>
      </c>
      <c r="H40" s="22" t="s">
        <v>115</v>
      </c>
      <c r="I40" s="22">
        <v>3</v>
      </c>
      <c r="J40" s="22">
        <f>SUMIFS(E5:E227,D5:D227,"江门")</f>
        <v>300</v>
      </c>
      <c r="K40" s="27">
        <f t="shared" si="2"/>
        <v>100</v>
      </c>
      <c r="L40" s="2" t="s">
        <v>116</v>
      </c>
    </row>
    <row r="41" spans="1:12">
      <c r="A41" s="5">
        <v>45667</v>
      </c>
      <c r="B41" s="6" t="s">
        <v>29</v>
      </c>
      <c r="C41" s="6" t="s">
        <v>117</v>
      </c>
      <c r="D41" s="6" t="s">
        <v>31</v>
      </c>
      <c r="E41" s="6">
        <v>150</v>
      </c>
      <c r="H41" s="22" t="s">
        <v>118</v>
      </c>
      <c r="I41" s="22">
        <v>343</v>
      </c>
      <c r="J41" s="22">
        <f>SUMIFS(E7:E229,D7:D229,"浏阳")</f>
        <v>0</v>
      </c>
      <c r="K41" s="27">
        <f t="shared" si="2"/>
        <v>0</v>
      </c>
      <c r="L41" s="2" t="s">
        <v>119</v>
      </c>
    </row>
    <row r="42" spans="1:11">
      <c r="A42" s="5">
        <v>45670</v>
      </c>
      <c r="B42" s="6" t="s">
        <v>120</v>
      </c>
      <c r="C42" s="32">
        <v>611510</v>
      </c>
      <c r="D42" s="6" t="s">
        <v>38</v>
      </c>
      <c r="E42" s="6">
        <v>300</v>
      </c>
      <c r="H42" s="22" t="s">
        <v>88</v>
      </c>
      <c r="I42" s="22">
        <v>261</v>
      </c>
      <c r="J42" s="22">
        <f>SUMIFS(E2:E215,D2:D215,"金华")</f>
        <v>300</v>
      </c>
      <c r="K42" s="27">
        <f t="shared" si="2"/>
        <v>1.14942528735632</v>
      </c>
    </row>
    <row r="43" spans="1:12">
      <c r="A43" s="5">
        <v>45670</v>
      </c>
      <c r="B43" s="6" t="s">
        <v>47</v>
      </c>
      <c r="C43" s="6">
        <v>418</v>
      </c>
      <c r="D43" s="6" t="s">
        <v>17</v>
      </c>
      <c r="E43" s="6">
        <v>150</v>
      </c>
      <c r="H43" s="20" t="s">
        <v>56</v>
      </c>
      <c r="I43" s="20">
        <f>SUM(I18:I42)</f>
        <v>5292</v>
      </c>
      <c r="J43" s="20">
        <f>SUM(J21:J42)</f>
        <v>7350</v>
      </c>
      <c r="K43" s="25">
        <f t="shared" si="2"/>
        <v>1.38888888888889</v>
      </c>
      <c r="L43" s="2" t="s">
        <v>121</v>
      </c>
    </row>
    <row r="44" spans="1:5">
      <c r="A44" s="5">
        <v>45670</v>
      </c>
      <c r="B44" s="6" t="s">
        <v>122</v>
      </c>
      <c r="C44" s="6">
        <v>1628</v>
      </c>
      <c r="D44" s="6" t="s">
        <v>18</v>
      </c>
      <c r="E44" s="6">
        <v>150</v>
      </c>
    </row>
    <row r="45" spans="1:20">
      <c r="A45" s="5">
        <v>45670</v>
      </c>
      <c r="B45" s="6" t="s">
        <v>65</v>
      </c>
      <c r="C45" s="6">
        <v>1515</v>
      </c>
      <c r="D45" s="6" t="s">
        <v>26</v>
      </c>
      <c r="E45" s="6">
        <v>150</v>
      </c>
      <c r="P45" s="35"/>
      <c r="Q45" s="9"/>
      <c r="R45" s="36"/>
      <c r="S45" s="9"/>
      <c r="T45" s="9"/>
    </row>
    <row r="46" spans="1:20">
      <c r="A46" s="5">
        <v>45671</v>
      </c>
      <c r="B46" s="6" t="s">
        <v>106</v>
      </c>
      <c r="C46" s="6">
        <v>1212</v>
      </c>
      <c r="D46" s="6" t="s">
        <v>13</v>
      </c>
      <c r="E46" s="6">
        <v>150</v>
      </c>
      <c r="P46" s="35"/>
      <c r="Q46" s="9"/>
      <c r="R46" s="36"/>
      <c r="S46" s="9"/>
      <c r="T46" s="9"/>
    </row>
    <row r="47" spans="1:20">
      <c r="A47" s="5">
        <v>45671</v>
      </c>
      <c r="B47" s="6" t="s">
        <v>123</v>
      </c>
      <c r="C47" s="6" t="s">
        <v>124</v>
      </c>
      <c r="D47" s="6" t="s">
        <v>41</v>
      </c>
      <c r="E47" s="6">
        <v>300</v>
      </c>
      <c r="P47" s="35"/>
      <c r="Q47" s="9"/>
      <c r="R47" s="36"/>
      <c r="S47" s="9"/>
      <c r="T47" s="9"/>
    </row>
    <row r="48" spans="1:20">
      <c r="A48" s="5">
        <v>45671</v>
      </c>
      <c r="B48" s="6" t="s">
        <v>15</v>
      </c>
      <c r="C48" s="32">
        <v>8151117</v>
      </c>
      <c r="D48" s="6" t="s">
        <v>17</v>
      </c>
      <c r="E48" s="6">
        <v>150</v>
      </c>
      <c r="P48" s="8"/>
      <c r="Q48" s="9"/>
      <c r="R48" s="36"/>
      <c r="S48" s="9"/>
      <c r="T48" s="9"/>
    </row>
    <row r="49" spans="1:20">
      <c r="A49" s="5">
        <v>45672</v>
      </c>
      <c r="B49" s="6" t="s">
        <v>103</v>
      </c>
      <c r="C49" s="6" t="s">
        <v>125</v>
      </c>
      <c r="D49" s="6" t="s">
        <v>21</v>
      </c>
      <c r="E49" s="6">
        <v>200</v>
      </c>
      <c r="P49" s="8"/>
      <c r="Q49" s="9"/>
      <c r="R49" s="9"/>
      <c r="S49" s="9"/>
      <c r="T49" s="9"/>
    </row>
    <row r="50" spans="1:20">
      <c r="A50" s="5">
        <v>45672</v>
      </c>
      <c r="B50" s="6" t="s">
        <v>126</v>
      </c>
      <c r="C50" s="6" t="s">
        <v>127</v>
      </c>
      <c r="D50" s="6" t="s">
        <v>84</v>
      </c>
      <c r="E50" s="6">
        <v>150</v>
      </c>
      <c r="P50" s="8"/>
      <c r="Q50" s="9"/>
      <c r="R50" s="9"/>
      <c r="S50" s="9"/>
      <c r="T50" s="9"/>
    </row>
    <row r="51" spans="1:20">
      <c r="A51" s="5">
        <v>45673</v>
      </c>
      <c r="B51" s="6" t="s">
        <v>128</v>
      </c>
      <c r="C51" s="6" t="s">
        <v>129</v>
      </c>
      <c r="D51" s="6" t="s">
        <v>13</v>
      </c>
      <c r="E51" s="6">
        <v>150</v>
      </c>
      <c r="P51" s="8"/>
      <c r="Q51" s="9"/>
      <c r="R51" s="9"/>
      <c r="S51" s="9"/>
      <c r="T51" s="9"/>
    </row>
    <row r="52" spans="1:20">
      <c r="A52" s="5">
        <v>45673</v>
      </c>
      <c r="B52" s="6" t="s">
        <v>29</v>
      </c>
      <c r="C52" s="6" t="s">
        <v>130</v>
      </c>
      <c r="D52" s="6" t="s">
        <v>31</v>
      </c>
      <c r="E52" s="6">
        <v>150</v>
      </c>
      <c r="P52" s="8"/>
      <c r="Q52" s="9"/>
      <c r="R52" s="9"/>
      <c r="S52" s="9"/>
      <c r="T52" s="9"/>
    </row>
    <row r="53" spans="1:20">
      <c r="A53" s="5">
        <v>45673</v>
      </c>
      <c r="B53" s="6" t="s">
        <v>29</v>
      </c>
      <c r="C53" s="6" t="s">
        <v>131</v>
      </c>
      <c r="D53" s="6" t="s">
        <v>31</v>
      </c>
      <c r="E53" s="6">
        <v>150</v>
      </c>
      <c r="P53" s="8"/>
      <c r="Q53" s="9"/>
      <c r="R53" s="9"/>
      <c r="S53" s="9"/>
      <c r="T53" s="9"/>
    </row>
    <row r="54" spans="1:20">
      <c r="A54" s="5">
        <v>45674</v>
      </c>
      <c r="B54" s="6" t="s">
        <v>23</v>
      </c>
      <c r="C54" s="6" t="s">
        <v>132</v>
      </c>
      <c r="D54" s="6" t="s">
        <v>25</v>
      </c>
      <c r="E54" s="6">
        <v>300</v>
      </c>
      <c r="P54" s="8"/>
      <c r="Q54" s="9"/>
      <c r="R54" s="9"/>
      <c r="S54" s="9"/>
      <c r="T54" s="9"/>
    </row>
    <row r="55" spans="1:20">
      <c r="A55" s="5">
        <v>45674</v>
      </c>
      <c r="B55" s="6" t="s">
        <v>123</v>
      </c>
      <c r="C55" s="6">
        <v>1615</v>
      </c>
      <c r="D55" s="6" t="s">
        <v>41</v>
      </c>
      <c r="E55" s="6">
        <v>300</v>
      </c>
      <c r="P55" s="8"/>
      <c r="Q55" s="9"/>
      <c r="R55" s="9"/>
      <c r="S55" s="9"/>
      <c r="T55" s="9"/>
    </row>
    <row r="56" spans="1:20">
      <c r="A56" s="5">
        <v>45674</v>
      </c>
      <c r="B56" s="6" t="s">
        <v>133</v>
      </c>
      <c r="C56" s="6">
        <v>410</v>
      </c>
      <c r="D56" s="6" t="s">
        <v>51</v>
      </c>
      <c r="E56" s="6">
        <v>110</v>
      </c>
      <c r="P56" s="8"/>
      <c r="Q56" s="9"/>
      <c r="R56" s="9"/>
      <c r="S56" s="9"/>
      <c r="T56" s="9"/>
    </row>
    <row r="57" spans="1:20">
      <c r="A57" s="5">
        <v>45675</v>
      </c>
      <c r="B57" s="6" t="s">
        <v>134</v>
      </c>
      <c r="C57" s="6" t="s">
        <v>135</v>
      </c>
      <c r="D57" s="6" t="s">
        <v>111</v>
      </c>
      <c r="E57" s="6">
        <v>300</v>
      </c>
      <c r="P57" s="8"/>
      <c r="Q57" s="9"/>
      <c r="R57" s="9"/>
      <c r="S57" s="9"/>
      <c r="T57" s="9"/>
    </row>
    <row r="58" spans="1:20">
      <c r="A58" s="5">
        <v>45675</v>
      </c>
      <c r="B58" s="6" t="s">
        <v>136</v>
      </c>
      <c r="C58" s="6" t="s">
        <v>137</v>
      </c>
      <c r="D58" s="6" t="s">
        <v>80</v>
      </c>
      <c r="E58" s="6">
        <v>150</v>
      </c>
      <c r="P58" s="8"/>
      <c r="Q58" s="9"/>
      <c r="R58" s="9"/>
      <c r="S58" s="9"/>
      <c r="T58" s="9"/>
    </row>
    <row r="59" spans="1:20">
      <c r="A59" s="5">
        <v>45675</v>
      </c>
      <c r="B59" s="6" t="s">
        <v>138</v>
      </c>
      <c r="C59" s="6" t="s">
        <v>139</v>
      </c>
      <c r="D59" s="6" t="s">
        <v>21</v>
      </c>
      <c r="E59" s="6">
        <v>500</v>
      </c>
      <c r="P59" s="8"/>
      <c r="Q59" s="9"/>
      <c r="R59" s="9"/>
      <c r="S59" s="9"/>
      <c r="T59" s="9"/>
    </row>
    <row r="60" spans="1:20">
      <c r="A60" s="5">
        <v>45675</v>
      </c>
      <c r="B60" s="6" t="s">
        <v>29</v>
      </c>
      <c r="C60" s="6" t="s">
        <v>140</v>
      </c>
      <c r="D60" s="6" t="s">
        <v>31</v>
      </c>
      <c r="E60" s="6">
        <v>150</v>
      </c>
      <c r="P60" s="8"/>
      <c r="Q60" s="9"/>
      <c r="R60" s="9"/>
      <c r="S60" s="9"/>
      <c r="T60" s="9"/>
    </row>
    <row r="61" spans="1:5">
      <c r="A61" s="5">
        <v>45675</v>
      </c>
      <c r="B61" s="6" t="s">
        <v>52</v>
      </c>
      <c r="C61" s="6">
        <v>1010</v>
      </c>
      <c r="D61" s="6" t="s">
        <v>54</v>
      </c>
      <c r="E61" s="6">
        <v>150</v>
      </c>
    </row>
    <row r="62" spans="1:5">
      <c r="A62" s="5">
        <v>45676</v>
      </c>
      <c r="B62" s="6" t="s">
        <v>123</v>
      </c>
      <c r="C62" s="6">
        <v>325</v>
      </c>
      <c r="D62" s="6" t="s">
        <v>41</v>
      </c>
      <c r="E62" s="6">
        <v>300</v>
      </c>
    </row>
    <row r="63" spans="1:5">
      <c r="A63" s="5">
        <v>45676</v>
      </c>
      <c r="B63" s="6" t="s">
        <v>141</v>
      </c>
      <c r="C63" s="6" t="s">
        <v>142</v>
      </c>
      <c r="D63" s="6" t="s">
        <v>51</v>
      </c>
      <c r="E63" s="6">
        <v>200</v>
      </c>
    </row>
    <row r="64" spans="1:5">
      <c r="A64" s="5">
        <v>45676</v>
      </c>
      <c r="B64" s="6" t="s">
        <v>122</v>
      </c>
      <c r="C64" s="6">
        <v>1210</v>
      </c>
      <c r="D64" s="6" t="s">
        <v>18</v>
      </c>
      <c r="E64" s="6">
        <v>150</v>
      </c>
    </row>
    <row r="65" spans="1:5">
      <c r="A65" s="5">
        <v>45676</v>
      </c>
      <c r="B65" s="6" t="s">
        <v>29</v>
      </c>
      <c r="C65" s="6" t="s">
        <v>143</v>
      </c>
      <c r="D65" s="6" t="s">
        <v>31</v>
      </c>
      <c r="E65" s="6">
        <v>150</v>
      </c>
    </row>
    <row r="66" spans="1:5">
      <c r="A66" s="5">
        <v>45676</v>
      </c>
      <c r="B66" s="6" t="s">
        <v>144</v>
      </c>
      <c r="C66" s="6">
        <v>208</v>
      </c>
      <c r="D66" s="6" t="s">
        <v>26</v>
      </c>
      <c r="E66" s="6">
        <v>150</v>
      </c>
    </row>
    <row r="67" spans="1:5">
      <c r="A67" s="8">
        <v>45677</v>
      </c>
      <c r="B67" s="9" t="s">
        <v>114</v>
      </c>
      <c r="C67" s="9">
        <v>579</v>
      </c>
      <c r="D67" s="9" t="s">
        <v>7</v>
      </c>
      <c r="E67" s="9">
        <v>100</v>
      </c>
    </row>
    <row r="68" spans="1:5">
      <c r="A68" s="8">
        <v>45677</v>
      </c>
      <c r="B68" s="9" t="s">
        <v>6</v>
      </c>
      <c r="C68" s="9">
        <v>2524</v>
      </c>
      <c r="D68" s="9" t="s">
        <v>7</v>
      </c>
      <c r="E68" s="9">
        <v>100</v>
      </c>
    </row>
    <row r="69" spans="1:5">
      <c r="A69" s="8">
        <v>45677</v>
      </c>
      <c r="B69" s="9" t="s">
        <v>114</v>
      </c>
      <c r="C69" s="9">
        <v>1018</v>
      </c>
      <c r="D69" s="9" t="s">
        <v>7</v>
      </c>
      <c r="E69" s="9">
        <v>100</v>
      </c>
    </row>
    <row r="70" spans="1:5">
      <c r="A70" s="8">
        <v>45677</v>
      </c>
      <c r="B70" s="9" t="s">
        <v>145</v>
      </c>
      <c r="C70" s="9">
        <v>207</v>
      </c>
      <c r="D70" s="9" t="s">
        <v>38</v>
      </c>
      <c r="E70" s="9">
        <v>150</v>
      </c>
    </row>
    <row r="71" spans="1:5">
      <c r="A71" s="8">
        <v>45677</v>
      </c>
      <c r="B71" s="9" t="s">
        <v>58</v>
      </c>
      <c r="C71" s="9">
        <v>2602</v>
      </c>
      <c r="D71" s="9" t="s">
        <v>31</v>
      </c>
      <c r="E71" s="9">
        <v>150</v>
      </c>
    </row>
    <row r="72" spans="1:5">
      <c r="A72" s="8">
        <v>45677</v>
      </c>
      <c r="B72" s="9" t="s">
        <v>128</v>
      </c>
      <c r="C72" s="9">
        <v>1221</v>
      </c>
      <c r="D72" s="9" t="s">
        <v>13</v>
      </c>
      <c r="E72" s="9">
        <v>150</v>
      </c>
    </row>
    <row r="73" spans="1:5">
      <c r="A73" s="8">
        <v>45677</v>
      </c>
      <c r="B73" s="9" t="s">
        <v>146</v>
      </c>
      <c r="C73" s="9" t="s">
        <v>147</v>
      </c>
      <c r="D73" s="9" t="s">
        <v>51</v>
      </c>
      <c r="E73" s="9">
        <v>110</v>
      </c>
    </row>
    <row r="74" spans="1:5">
      <c r="A74" s="8">
        <v>45677</v>
      </c>
      <c r="B74" s="9" t="s">
        <v>141</v>
      </c>
      <c r="C74" s="9" t="s">
        <v>142</v>
      </c>
      <c r="D74" s="9" t="s">
        <v>51</v>
      </c>
      <c r="E74" s="9">
        <v>200</v>
      </c>
    </row>
    <row r="75" spans="1:5">
      <c r="A75" s="8">
        <v>45678</v>
      </c>
      <c r="B75" s="9" t="s">
        <v>138</v>
      </c>
      <c r="C75" s="8" t="s">
        <v>148</v>
      </c>
      <c r="D75" s="9" t="s">
        <v>21</v>
      </c>
      <c r="E75" s="9">
        <v>300</v>
      </c>
    </row>
    <row r="76" spans="1:5">
      <c r="A76" s="8">
        <v>45678</v>
      </c>
      <c r="B76" s="9" t="s">
        <v>141</v>
      </c>
      <c r="C76" s="9" t="s">
        <v>149</v>
      </c>
      <c r="D76" s="9" t="s">
        <v>51</v>
      </c>
      <c r="E76" s="9">
        <v>200</v>
      </c>
    </row>
    <row r="77" spans="1:5">
      <c r="A77" s="8">
        <v>45678</v>
      </c>
      <c r="B77" s="9" t="s">
        <v>138</v>
      </c>
      <c r="C77" s="9" t="s">
        <v>150</v>
      </c>
      <c r="D77" s="9" t="s">
        <v>21</v>
      </c>
      <c r="E77" s="9">
        <v>300</v>
      </c>
    </row>
    <row r="78" spans="1:5">
      <c r="A78" s="8">
        <v>45678</v>
      </c>
      <c r="B78" s="9" t="s">
        <v>126</v>
      </c>
      <c r="C78" s="9" t="s">
        <v>151</v>
      </c>
      <c r="D78" s="9" t="s">
        <v>84</v>
      </c>
      <c r="E78" s="9">
        <v>150</v>
      </c>
    </row>
    <row r="79" spans="1:5">
      <c r="A79" s="8">
        <v>45678</v>
      </c>
      <c r="B79" s="9" t="s">
        <v>11</v>
      </c>
      <c r="C79" s="9">
        <v>2310</v>
      </c>
      <c r="D79" s="9" t="s">
        <v>13</v>
      </c>
      <c r="E79" s="9">
        <v>150</v>
      </c>
    </row>
    <row r="80" spans="1:5">
      <c r="A80" s="8">
        <v>45679</v>
      </c>
      <c r="B80" s="9" t="s">
        <v>65</v>
      </c>
      <c r="C80" s="9" t="s">
        <v>152</v>
      </c>
      <c r="D80" s="9" t="s">
        <v>26</v>
      </c>
      <c r="E80" s="9">
        <v>150</v>
      </c>
    </row>
    <row r="81" spans="1:5">
      <c r="A81" s="8">
        <v>45679</v>
      </c>
      <c r="B81" s="9" t="s">
        <v>153</v>
      </c>
      <c r="C81" s="9" t="s">
        <v>154</v>
      </c>
      <c r="D81" s="9" t="s">
        <v>51</v>
      </c>
      <c r="E81" s="9">
        <v>300</v>
      </c>
    </row>
    <row r="82" spans="1:5">
      <c r="A82" s="8">
        <v>45680</v>
      </c>
      <c r="B82" s="9" t="s">
        <v>155</v>
      </c>
      <c r="C82" s="9" t="s">
        <v>156</v>
      </c>
      <c r="D82" s="9" t="s">
        <v>49</v>
      </c>
      <c r="E82" s="9">
        <v>1000</v>
      </c>
    </row>
    <row r="83" spans="1:5">
      <c r="A83" s="8">
        <v>45680</v>
      </c>
      <c r="B83" s="9" t="s">
        <v>122</v>
      </c>
      <c r="C83" s="9" t="s">
        <v>157</v>
      </c>
      <c r="D83" s="9" t="s">
        <v>18</v>
      </c>
      <c r="E83" s="9">
        <v>100</v>
      </c>
    </row>
    <row r="84" spans="1:5">
      <c r="A84" s="8">
        <v>45680</v>
      </c>
      <c r="B84" s="9" t="s">
        <v>11</v>
      </c>
      <c r="C84" s="9" t="s">
        <v>158</v>
      </c>
      <c r="D84" s="9" t="s">
        <v>13</v>
      </c>
      <c r="E84" s="9">
        <v>150</v>
      </c>
    </row>
    <row r="85" spans="1:5">
      <c r="A85" s="8">
        <v>45680</v>
      </c>
      <c r="B85" s="9" t="s">
        <v>128</v>
      </c>
      <c r="C85" s="9">
        <v>1417</v>
      </c>
      <c r="D85" s="9" t="s">
        <v>13</v>
      </c>
      <c r="E85" s="9">
        <v>150</v>
      </c>
    </row>
    <row r="86" spans="1:5">
      <c r="A86" s="8">
        <v>45680</v>
      </c>
      <c r="B86" s="9" t="s">
        <v>145</v>
      </c>
      <c r="C86" s="9">
        <v>523</v>
      </c>
      <c r="D86" s="9" t="s">
        <v>38</v>
      </c>
      <c r="E86" s="9">
        <v>150</v>
      </c>
    </row>
    <row r="87" spans="1:5">
      <c r="A87" s="8">
        <v>45680</v>
      </c>
      <c r="B87" s="9" t="s">
        <v>141</v>
      </c>
      <c r="C87" s="9" t="s">
        <v>159</v>
      </c>
      <c r="D87" s="9" t="s">
        <v>51</v>
      </c>
      <c r="E87" s="9">
        <v>300</v>
      </c>
    </row>
    <row r="88" spans="1:5">
      <c r="A88" s="8">
        <v>45681</v>
      </c>
      <c r="B88" s="9" t="s">
        <v>160</v>
      </c>
      <c r="C88" s="9" t="s">
        <v>161</v>
      </c>
      <c r="D88" s="9" t="s">
        <v>17</v>
      </c>
      <c r="E88" s="9">
        <v>100</v>
      </c>
    </row>
    <row r="89" spans="1:5">
      <c r="A89" s="8">
        <v>45681</v>
      </c>
      <c r="B89" s="9" t="s">
        <v>126</v>
      </c>
      <c r="C89" s="9" t="s">
        <v>162</v>
      </c>
      <c r="D89" s="9" t="s">
        <v>84</v>
      </c>
      <c r="E89" s="9">
        <v>150</v>
      </c>
    </row>
    <row r="90" spans="1:5">
      <c r="A90" s="8">
        <v>45681</v>
      </c>
      <c r="B90" s="9" t="s">
        <v>146</v>
      </c>
      <c r="C90" s="9" t="s">
        <v>163</v>
      </c>
      <c r="D90" s="9" t="s">
        <v>51</v>
      </c>
      <c r="E90" s="9">
        <v>110</v>
      </c>
    </row>
    <row r="91" spans="1:5">
      <c r="A91" s="8">
        <v>45681</v>
      </c>
      <c r="B91" s="9" t="s">
        <v>133</v>
      </c>
      <c r="C91" s="9">
        <v>317</v>
      </c>
      <c r="D91" s="9" t="s">
        <v>51</v>
      </c>
      <c r="E91" s="9">
        <v>110</v>
      </c>
    </row>
    <row r="92" spans="1:5">
      <c r="A92" s="8">
        <v>45682</v>
      </c>
      <c r="B92" s="9" t="s">
        <v>134</v>
      </c>
      <c r="C92" s="9" t="s">
        <v>164</v>
      </c>
      <c r="D92" s="9" t="s">
        <v>111</v>
      </c>
      <c r="E92" s="9">
        <v>150</v>
      </c>
    </row>
    <row r="93" spans="1:5">
      <c r="A93" s="8">
        <v>45682</v>
      </c>
      <c r="B93" s="9" t="s">
        <v>165</v>
      </c>
      <c r="C93" s="9" t="s">
        <v>166</v>
      </c>
      <c r="D93" s="9" t="s">
        <v>49</v>
      </c>
      <c r="E93" s="9">
        <v>150</v>
      </c>
    </row>
    <row r="94" spans="1:5">
      <c r="A94" s="8">
        <v>45682</v>
      </c>
      <c r="B94" s="9" t="s">
        <v>141</v>
      </c>
      <c r="C94" s="9" t="s">
        <v>167</v>
      </c>
      <c r="D94" s="9" t="s">
        <v>51</v>
      </c>
      <c r="E94" s="9">
        <v>600</v>
      </c>
    </row>
    <row r="95" spans="1:5">
      <c r="A95" s="8">
        <v>45683</v>
      </c>
      <c r="B95" s="9" t="s">
        <v>168</v>
      </c>
      <c r="C95" s="9" t="s">
        <v>169</v>
      </c>
      <c r="D95" s="9" t="s">
        <v>115</v>
      </c>
      <c r="E95" s="9">
        <v>300</v>
      </c>
    </row>
    <row r="96" spans="1:5">
      <c r="A96" s="8">
        <v>45683</v>
      </c>
      <c r="B96" s="9" t="s">
        <v>141</v>
      </c>
      <c r="C96" s="9" t="s">
        <v>159</v>
      </c>
      <c r="D96" s="9" t="s">
        <v>51</v>
      </c>
      <c r="E96" s="9">
        <v>300</v>
      </c>
    </row>
    <row r="97" spans="1:5">
      <c r="A97" s="8">
        <v>45684</v>
      </c>
      <c r="B97" s="9" t="s">
        <v>170</v>
      </c>
      <c r="C97" s="9" t="s">
        <v>171</v>
      </c>
      <c r="D97" s="9" t="s">
        <v>172</v>
      </c>
      <c r="E97" s="9">
        <v>150</v>
      </c>
    </row>
    <row r="98" spans="1:5">
      <c r="A98" s="8">
        <v>45684</v>
      </c>
      <c r="B98" s="9" t="s">
        <v>11</v>
      </c>
      <c r="C98" s="9">
        <v>2206</v>
      </c>
      <c r="D98" s="9" t="s">
        <v>13</v>
      </c>
      <c r="E98" s="9">
        <v>150</v>
      </c>
    </row>
    <row r="99" spans="1:5">
      <c r="A99" s="8">
        <v>45686</v>
      </c>
      <c r="B99" s="9" t="s">
        <v>133</v>
      </c>
      <c r="C99" s="9">
        <v>216</v>
      </c>
      <c r="D99" s="9" t="s">
        <v>51</v>
      </c>
      <c r="E99" s="9">
        <v>120</v>
      </c>
    </row>
    <row r="100" spans="1:5">
      <c r="A100" s="8">
        <v>45687</v>
      </c>
      <c r="B100" s="9" t="s">
        <v>173</v>
      </c>
      <c r="C100" s="9" t="s">
        <v>174</v>
      </c>
      <c r="D100" s="9" t="s">
        <v>172</v>
      </c>
      <c r="E100" s="9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8" workbookViewId="0">
      <selection activeCell="L44" sqref="L44"/>
    </sheetView>
  </sheetViews>
  <sheetFormatPr defaultColWidth="9.23076923076923" defaultRowHeight="16.8"/>
  <cols>
    <col min="2" max="2" width="30.4615384615385" customWidth="1"/>
    <col min="3" max="3" width="39.3846153846154" style="1" customWidth="1"/>
    <col min="9" max="10" width="13.6153846153846" customWidth="1"/>
    <col min="11" max="11" width="16.2307692307692" customWidth="1"/>
    <col min="12" max="12" width="27.3076923076923" style="2" customWidth="1"/>
    <col min="13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175</v>
      </c>
      <c r="H1" s="14" t="s">
        <v>5</v>
      </c>
      <c r="I1" s="14"/>
      <c r="J1" s="14"/>
      <c r="K1" s="14"/>
    </row>
    <row r="2" ht="17.6" spans="1:11">
      <c r="A2" s="5">
        <v>45690</v>
      </c>
      <c r="B2" s="6" t="s">
        <v>176</v>
      </c>
      <c r="C2" s="7" t="s">
        <v>177</v>
      </c>
      <c r="D2" s="6" t="s">
        <v>49</v>
      </c>
      <c r="E2" s="15">
        <v>850</v>
      </c>
      <c r="F2" s="16" t="s">
        <v>178</v>
      </c>
      <c r="H2" s="17" t="s">
        <v>3</v>
      </c>
      <c r="I2" s="17" t="s">
        <v>8</v>
      </c>
      <c r="J2" s="17" t="s">
        <v>9</v>
      </c>
      <c r="K2" s="23" t="s">
        <v>10</v>
      </c>
    </row>
    <row r="3" spans="1:11">
      <c r="A3" s="5">
        <v>45691</v>
      </c>
      <c r="B3" s="6" t="s">
        <v>146</v>
      </c>
      <c r="C3" s="7" t="s">
        <v>179</v>
      </c>
      <c r="D3" s="6" t="s">
        <v>51</v>
      </c>
      <c r="E3" s="15">
        <v>110</v>
      </c>
      <c r="F3" s="16" t="s">
        <v>180</v>
      </c>
      <c r="H3" s="18" t="s">
        <v>14</v>
      </c>
      <c r="I3" s="18">
        <v>255</v>
      </c>
      <c r="J3" s="18">
        <f>SUMIFS(E2:E216,D2:D216,"嘉兴")</f>
        <v>0</v>
      </c>
      <c r="K3" s="24">
        <f t="shared" ref="K3:K17" si="0">J3/I3</f>
        <v>0</v>
      </c>
    </row>
    <row r="4" spans="1:11">
      <c r="A4" s="5">
        <v>45691</v>
      </c>
      <c r="B4" s="6" t="s">
        <v>176</v>
      </c>
      <c r="C4" s="7" t="s">
        <v>181</v>
      </c>
      <c r="D4" s="6" t="s">
        <v>49</v>
      </c>
      <c r="E4" s="15">
        <v>100</v>
      </c>
      <c r="F4" s="16" t="s">
        <v>178</v>
      </c>
      <c r="H4" s="18" t="s">
        <v>18</v>
      </c>
      <c r="I4" s="18">
        <v>372</v>
      </c>
      <c r="J4" s="18">
        <f>SUMIFS(E2:E216,D2:D216,"南昌")</f>
        <v>0</v>
      </c>
      <c r="K4" s="24">
        <f t="shared" si="0"/>
        <v>0</v>
      </c>
    </row>
    <row r="5" spans="1:11">
      <c r="A5" s="5">
        <v>45691</v>
      </c>
      <c r="B5" s="6" t="s">
        <v>176</v>
      </c>
      <c r="C5" s="7" t="s">
        <v>181</v>
      </c>
      <c r="D5" s="6" t="s">
        <v>49</v>
      </c>
      <c r="E5" s="15">
        <v>500</v>
      </c>
      <c r="F5" s="16" t="s">
        <v>178</v>
      </c>
      <c r="H5" s="18" t="s">
        <v>22</v>
      </c>
      <c r="I5" s="18">
        <v>1396</v>
      </c>
      <c r="J5" s="18">
        <f>SUMIFS(E2:E216,D2:D216,"宁波")</f>
        <v>0</v>
      </c>
      <c r="K5" s="24">
        <f t="shared" si="0"/>
        <v>0</v>
      </c>
    </row>
    <row r="6" spans="1:11">
      <c r="A6" s="5">
        <v>45692</v>
      </c>
      <c r="B6" s="6" t="s">
        <v>176</v>
      </c>
      <c r="C6" s="7" t="s">
        <v>181</v>
      </c>
      <c r="D6" s="6" t="s">
        <v>49</v>
      </c>
      <c r="E6" s="15">
        <v>550</v>
      </c>
      <c r="F6" s="16" t="s">
        <v>178</v>
      </c>
      <c r="H6" s="18" t="s">
        <v>26</v>
      </c>
      <c r="I6" s="18">
        <v>886</v>
      </c>
      <c r="J6" s="18">
        <f>SUMIFS(E2:E216,D2:D216,"天津")</f>
        <v>150</v>
      </c>
      <c r="K6" s="24">
        <f t="shared" si="0"/>
        <v>0.169300225733634</v>
      </c>
    </row>
    <row r="7" spans="1:11">
      <c r="A7" s="5">
        <v>45692</v>
      </c>
      <c r="B7" s="6" t="s">
        <v>133</v>
      </c>
      <c r="C7" s="7">
        <v>806</v>
      </c>
      <c r="D7" s="6" t="s">
        <v>51</v>
      </c>
      <c r="E7" s="15">
        <v>110</v>
      </c>
      <c r="F7" s="16" t="s">
        <v>180</v>
      </c>
      <c r="H7" s="18" t="s">
        <v>7</v>
      </c>
      <c r="I7" s="18">
        <v>1630</v>
      </c>
      <c r="J7" s="18">
        <f>SUMIFS(E2:E216,D2:D216,"郑州")</f>
        <v>0</v>
      </c>
      <c r="K7" s="24">
        <f t="shared" si="0"/>
        <v>0</v>
      </c>
    </row>
    <row r="8" spans="1:11">
      <c r="A8" s="5">
        <v>45692</v>
      </c>
      <c r="B8" s="6" t="s">
        <v>141</v>
      </c>
      <c r="C8" s="7">
        <v>539</v>
      </c>
      <c r="D8" s="6" t="s">
        <v>51</v>
      </c>
      <c r="E8" s="15">
        <v>110</v>
      </c>
      <c r="F8" s="16" t="s">
        <v>180</v>
      </c>
      <c r="H8" s="18" t="s">
        <v>31</v>
      </c>
      <c r="I8" s="18">
        <v>356</v>
      </c>
      <c r="J8" s="18">
        <f>SUMIFS(E2:E216,D2:D216,"中山")</f>
        <v>300</v>
      </c>
      <c r="K8" s="24">
        <f t="shared" si="0"/>
        <v>0.842696629213483</v>
      </c>
    </row>
    <row r="9" spans="1:11">
      <c r="A9" s="5">
        <v>45692</v>
      </c>
      <c r="B9" s="6" t="s">
        <v>44</v>
      </c>
      <c r="C9" s="7">
        <v>607</v>
      </c>
      <c r="D9" s="6" t="s">
        <v>38</v>
      </c>
      <c r="E9" s="15">
        <v>150</v>
      </c>
      <c r="F9" s="16" t="s">
        <v>182</v>
      </c>
      <c r="H9" s="18" t="s">
        <v>35</v>
      </c>
      <c r="I9" s="18">
        <v>497</v>
      </c>
      <c r="J9" s="18">
        <f>SUMIFS(E2:E216,D2:D216,"珠海")</f>
        <v>0</v>
      </c>
      <c r="K9" s="24">
        <f t="shared" si="0"/>
        <v>0</v>
      </c>
    </row>
    <row r="10" spans="1:11">
      <c r="A10" s="5">
        <v>45693</v>
      </c>
      <c r="B10" s="6" t="s">
        <v>133</v>
      </c>
      <c r="C10" s="7">
        <v>2015</v>
      </c>
      <c r="D10" s="6" t="s">
        <v>51</v>
      </c>
      <c r="E10" s="15">
        <v>110</v>
      </c>
      <c r="F10" s="16" t="s">
        <v>180</v>
      </c>
      <c r="H10" s="18" t="s">
        <v>38</v>
      </c>
      <c r="I10" s="18">
        <v>4904</v>
      </c>
      <c r="J10" s="18">
        <f>SUMIFS(E2:E216,D2:D216,"上海")</f>
        <v>150</v>
      </c>
      <c r="K10" s="24">
        <f t="shared" si="0"/>
        <v>0.0305872756933116</v>
      </c>
    </row>
    <row r="11" spans="1:11">
      <c r="A11" s="5">
        <v>45693</v>
      </c>
      <c r="B11" s="6" t="s">
        <v>106</v>
      </c>
      <c r="C11" s="7">
        <v>211</v>
      </c>
      <c r="D11" s="6" t="s">
        <v>13</v>
      </c>
      <c r="E11" s="15">
        <v>150</v>
      </c>
      <c r="F11" s="16" t="s">
        <v>183</v>
      </c>
      <c r="H11" s="18" t="s">
        <v>41</v>
      </c>
      <c r="I11" s="18">
        <v>837</v>
      </c>
      <c r="J11" s="18">
        <f>SUMIFS(E2:E216,D2:D216,"北京")</f>
        <v>0</v>
      </c>
      <c r="K11" s="24">
        <f t="shared" si="0"/>
        <v>0</v>
      </c>
    </row>
    <row r="12" spans="1:11">
      <c r="A12" s="5">
        <v>45693</v>
      </c>
      <c r="B12" s="6" t="s">
        <v>153</v>
      </c>
      <c r="C12" s="7">
        <v>3131</v>
      </c>
      <c r="D12" s="6" t="s">
        <v>51</v>
      </c>
      <c r="E12" s="15">
        <v>110</v>
      </c>
      <c r="F12" s="16" t="s">
        <v>180</v>
      </c>
      <c r="H12" s="18" t="s">
        <v>34</v>
      </c>
      <c r="I12" s="18">
        <v>1139</v>
      </c>
      <c r="J12" s="18">
        <f>SUMIFS(E2:E216,D2:D216,"南京")</f>
        <v>0</v>
      </c>
      <c r="K12" s="24">
        <f t="shared" si="0"/>
        <v>0</v>
      </c>
    </row>
    <row r="13" spans="1:11">
      <c r="A13" s="5">
        <v>45693</v>
      </c>
      <c r="B13" s="6" t="s">
        <v>141</v>
      </c>
      <c r="C13" s="7" t="s">
        <v>184</v>
      </c>
      <c r="D13" s="6" t="s">
        <v>51</v>
      </c>
      <c r="E13" s="15">
        <v>110</v>
      </c>
      <c r="F13" s="16" t="s">
        <v>180</v>
      </c>
      <c r="H13" s="18" t="s">
        <v>46</v>
      </c>
      <c r="I13" s="18">
        <v>400</v>
      </c>
      <c r="J13" s="18">
        <f>SUMIFS(E2:E216,D2:D216,"温州")</f>
        <v>0</v>
      </c>
      <c r="K13" s="24">
        <f t="shared" si="0"/>
        <v>0</v>
      </c>
    </row>
    <row r="14" spans="1:11">
      <c r="A14" s="8">
        <v>45693</v>
      </c>
      <c r="B14" s="9" t="s">
        <v>141</v>
      </c>
      <c r="C14" s="10" t="s">
        <v>185</v>
      </c>
      <c r="D14" s="9" t="s">
        <v>51</v>
      </c>
      <c r="E14" s="19">
        <v>110</v>
      </c>
      <c r="F14" s="16" t="s">
        <v>180</v>
      </c>
      <c r="H14" s="18" t="s">
        <v>49</v>
      </c>
      <c r="I14" s="18">
        <v>6134</v>
      </c>
      <c r="J14" s="18">
        <f>SUMIFS(E2:E216,D2:D216,"深圳")</f>
        <v>2950</v>
      </c>
      <c r="K14" s="24">
        <f t="shared" si="0"/>
        <v>0.480925986305836</v>
      </c>
    </row>
    <row r="15" spans="1:11">
      <c r="A15" s="11">
        <v>45693</v>
      </c>
      <c r="B15" s="12" t="s">
        <v>176</v>
      </c>
      <c r="C15" s="13" t="s">
        <v>181</v>
      </c>
      <c r="D15" s="12" t="s">
        <v>49</v>
      </c>
      <c r="E15" s="12">
        <v>150</v>
      </c>
      <c r="F15" s="16" t="s">
        <v>178</v>
      </c>
      <c r="H15" s="18"/>
      <c r="I15" s="18"/>
      <c r="J15" s="18"/>
      <c r="K15" s="24"/>
    </row>
    <row r="16" spans="1:11">
      <c r="A16" s="8">
        <v>45694</v>
      </c>
      <c r="B16" s="9" t="s">
        <v>186</v>
      </c>
      <c r="C16" s="10">
        <v>1015</v>
      </c>
      <c r="D16" s="9" t="s">
        <v>17</v>
      </c>
      <c r="E16" s="19">
        <v>150</v>
      </c>
      <c r="F16" s="16" t="s">
        <v>187</v>
      </c>
      <c r="H16" s="18" t="s">
        <v>51</v>
      </c>
      <c r="I16" s="18">
        <v>4900</v>
      </c>
      <c r="J16" s="18">
        <f>SUMIFS(E2:E216,D2:D216,"西安")</f>
        <v>1320</v>
      </c>
      <c r="K16" s="24">
        <f>J16/I16</f>
        <v>0.269387755102041</v>
      </c>
    </row>
    <row r="17" spans="1:11">
      <c r="A17" s="8">
        <v>45694</v>
      </c>
      <c r="B17" s="9" t="s">
        <v>141</v>
      </c>
      <c r="C17" s="10" t="s">
        <v>188</v>
      </c>
      <c r="D17" s="9" t="s">
        <v>51</v>
      </c>
      <c r="E17" s="19">
        <v>110</v>
      </c>
      <c r="F17" s="16" t="s">
        <v>180</v>
      </c>
      <c r="H17" s="18" t="s">
        <v>13</v>
      </c>
      <c r="I17" s="18">
        <v>4541</v>
      </c>
      <c r="J17" s="18">
        <f>SUMIFS(E2:E216,D2:D216,"合肥")</f>
        <v>1050</v>
      </c>
      <c r="K17" s="24">
        <f>J17/I17</f>
        <v>0.231226602070029</v>
      </c>
    </row>
    <row r="18" spans="1:11">
      <c r="A18" s="8">
        <v>45694</v>
      </c>
      <c r="B18" s="9" t="s">
        <v>106</v>
      </c>
      <c r="C18" s="10">
        <v>227</v>
      </c>
      <c r="D18" s="9" t="s">
        <v>13</v>
      </c>
      <c r="E18" s="19">
        <v>150</v>
      </c>
      <c r="F18" s="16" t="s">
        <v>183</v>
      </c>
      <c r="H18" s="20" t="s">
        <v>56</v>
      </c>
      <c r="I18" s="20">
        <f>SUM(I3:I17)</f>
        <v>28247</v>
      </c>
      <c r="J18" s="20">
        <f>SUM(J3:J17)</f>
        <v>5920</v>
      </c>
      <c r="K18" s="25">
        <f>J18/I18</f>
        <v>0.209579778383545</v>
      </c>
    </row>
    <row r="19" spans="1:6">
      <c r="A19" s="8">
        <v>45694</v>
      </c>
      <c r="B19" s="9" t="s">
        <v>176</v>
      </c>
      <c r="C19" s="10" t="s">
        <v>189</v>
      </c>
      <c r="D19" s="9" t="s">
        <v>49</v>
      </c>
      <c r="E19" s="19">
        <v>500</v>
      </c>
      <c r="F19" s="16" t="s">
        <v>178</v>
      </c>
    </row>
    <row r="20" ht="17.6" spans="1:11">
      <c r="A20" s="8">
        <v>45694</v>
      </c>
      <c r="B20" s="9" t="s">
        <v>29</v>
      </c>
      <c r="C20" s="10" t="s">
        <v>190</v>
      </c>
      <c r="D20" s="9" t="s">
        <v>31</v>
      </c>
      <c r="E20" s="19">
        <v>150</v>
      </c>
      <c r="F20" s="16" t="s">
        <v>191</v>
      </c>
      <c r="H20" s="21" t="s">
        <v>61</v>
      </c>
      <c r="I20" s="21"/>
      <c r="J20" s="21"/>
      <c r="K20" s="21"/>
    </row>
    <row r="21" ht="17.6" spans="1:13">
      <c r="A21" s="8">
        <v>45694</v>
      </c>
      <c r="B21" s="9" t="s">
        <v>141</v>
      </c>
      <c r="C21" s="10">
        <v>4047</v>
      </c>
      <c r="D21" s="9" t="s">
        <v>51</v>
      </c>
      <c r="E21" s="19">
        <v>110</v>
      </c>
      <c r="F21" s="16" t="s">
        <v>180</v>
      </c>
      <c r="H21" s="17" t="s">
        <v>3</v>
      </c>
      <c r="I21" s="17" t="s">
        <v>8</v>
      </c>
      <c r="J21" s="17" t="s">
        <v>9</v>
      </c>
      <c r="K21" s="17" t="s">
        <v>63</v>
      </c>
      <c r="L21" s="26" t="s">
        <v>192</v>
      </c>
      <c r="M21" s="26" t="s">
        <v>175</v>
      </c>
    </row>
    <row r="22" spans="1:13">
      <c r="A22" s="8">
        <v>45695</v>
      </c>
      <c r="B22" s="9" t="s">
        <v>128</v>
      </c>
      <c r="C22" s="10">
        <v>923</v>
      </c>
      <c r="D22" s="9" t="s">
        <v>13</v>
      </c>
      <c r="E22" s="19">
        <v>150</v>
      </c>
      <c r="F22" s="16" t="s">
        <v>183</v>
      </c>
      <c r="H22" s="18" t="s">
        <v>54</v>
      </c>
      <c r="I22" s="22">
        <v>435</v>
      </c>
      <c r="J22" s="22">
        <f>SUMIFS(E2:E216,D2:D216,"佛山")</f>
        <v>300</v>
      </c>
      <c r="K22" s="27">
        <f t="shared" ref="K22:K44" si="1">J22/I22</f>
        <v>0.689655172413793</v>
      </c>
      <c r="L22" s="26"/>
      <c r="M22" s="26" t="s">
        <v>193</v>
      </c>
    </row>
    <row r="23" spans="1:13">
      <c r="A23" s="8">
        <v>45696</v>
      </c>
      <c r="B23" s="9" t="s">
        <v>136</v>
      </c>
      <c r="C23" s="10">
        <v>6002</v>
      </c>
      <c r="D23" s="9" t="s">
        <v>80</v>
      </c>
      <c r="E23" s="19">
        <v>150</v>
      </c>
      <c r="F23" s="16" t="s">
        <v>194</v>
      </c>
      <c r="H23" s="18" t="s">
        <v>66</v>
      </c>
      <c r="I23" s="22">
        <v>17</v>
      </c>
      <c r="J23" s="22">
        <f>SUMIFS(E2:E216,D2:D216,"漳州")</f>
        <v>0</v>
      </c>
      <c r="K23" s="27">
        <f t="shared" si="1"/>
        <v>0</v>
      </c>
      <c r="L23" s="26"/>
      <c r="M23" s="26" t="s">
        <v>195</v>
      </c>
    </row>
    <row r="24" spans="1:13">
      <c r="A24" s="8">
        <v>45696</v>
      </c>
      <c r="B24" s="9" t="s">
        <v>146</v>
      </c>
      <c r="C24" s="10">
        <v>504</v>
      </c>
      <c r="D24" s="9" t="s">
        <v>51</v>
      </c>
      <c r="E24" s="19">
        <v>110</v>
      </c>
      <c r="F24" s="16" t="s">
        <v>180</v>
      </c>
      <c r="H24" s="18" t="s">
        <v>68</v>
      </c>
      <c r="I24" s="22">
        <v>98</v>
      </c>
      <c r="J24" s="22">
        <f>SUMIFS(E2:E216,D2:D216,"福州")</f>
        <v>0</v>
      </c>
      <c r="K24" s="27">
        <f t="shared" si="1"/>
        <v>0</v>
      </c>
      <c r="L24" s="26" t="s">
        <v>69</v>
      </c>
      <c r="M24" s="26" t="s">
        <v>195</v>
      </c>
    </row>
    <row r="25" spans="1:13">
      <c r="A25" s="8">
        <v>45696</v>
      </c>
      <c r="B25" s="9" t="s">
        <v>196</v>
      </c>
      <c r="C25" s="10" t="s">
        <v>197</v>
      </c>
      <c r="D25" s="9" t="s">
        <v>51</v>
      </c>
      <c r="E25" s="19">
        <v>110</v>
      </c>
      <c r="F25" s="16" t="s">
        <v>180</v>
      </c>
      <c r="H25" s="18" t="s">
        <v>72</v>
      </c>
      <c r="I25" s="22">
        <v>830</v>
      </c>
      <c r="J25" s="22">
        <f>SUMIFS(E2:E216,D2:D216,"泉州")</f>
        <v>0</v>
      </c>
      <c r="K25" s="27">
        <f t="shared" si="1"/>
        <v>0</v>
      </c>
      <c r="L25" s="26" t="s">
        <v>73</v>
      </c>
      <c r="M25" s="26" t="s">
        <v>195</v>
      </c>
    </row>
    <row r="26" spans="1:13">
      <c r="A26" s="8">
        <v>45696</v>
      </c>
      <c r="B26" s="9" t="s">
        <v>11</v>
      </c>
      <c r="C26" s="10" t="s">
        <v>198</v>
      </c>
      <c r="D26" s="9" t="s">
        <v>13</v>
      </c>
      <c r="E26" s="19">
        <v>150</v>
      </c>
      <c r="F26" s="16" t="s">
        <v>183</v>
      </c>
      <c r="H26" s="18" t="s">
        <v>74</v>
      </c>
      <c r="I26" s="22">
        <v>181</v>
      </c>
      <c r="J26" s="22">
        <f>SUMIFS(E2:E216,D2:D216,"柳州")</f>
        <v>0</v>
      </c>
      <c r="K26" s="27">
        <f t="shared" si="1"/>
        <v>0</v>
      </c>
      <c r="L26" s="26"/>
      <c r="M26" s="26"/>
    </row>
    <row r="27" spans="1:13">
      <c r="A27" s="8">
        <v>45696</v>
      </c>
      <c r="B27" s="9" t="s">
        <v>106</v>
      </c>
      <c r="C27" s="10">
        <v>716</v>
      </c>
      <c r="D27" s="9" t="s">
        <v>13</v>
      </c>
      <c r="E27" s="19">
        <v>150</v>
      </c>
      <c r="F27" s="16" t="s">
        <v>183</v>
      </c>
      <c r="H27" s="18" t="s">
        <v>76</v>
      </c>
      <c r="I27" s="22">
        <v>0</v>
      </c>
      <c r="J27" s="22">
        <f>SUMIFS(E2:E216,D2:D216,"广州")</f>
        <v>0</v>
      </c>
      <c r="K27" s="27" t="e">
        <f t="shared" si="1"/>
        <v>#DIV/0!</v>
      </c>
      <c r="L27" s="26"/>
      <c r="M27" s="26"/>
    </row>
    <row r="28" spans="1:13">
      <c r="A28" s="8">
        <v>45696</v>
      </c>
      <c r="B28" s="9" t="s">
        <v>199</v>
      </c>
      <c r="C28" s="10" t="s">
        <v>200</v>
      </c>
      <c r="D28" s="9" t="s">
        <v>17</v>
      </c>
      <c r="E28" s="19">
        <v>100</v>
      </c>
      <c r="F28" s="16" t="s">
        <v>187</v>
      </c>
      <c r="H28" s="18" t="s">
        <v>80</v>
      </c>
      <c r="I28" s="22">
        <v>4</v>
      </c>
      <c r="J28" s="22">
        <f>SUMIFS(E2:E216,D2:D216,"肥西")</f>
        <v>150</v>
      </c>
      <c r="K28" s="27">
        <f t="shared" si="1"/>
        <v>37.5</v>
      </c>
      <c r="L28" s="26"/>
      <c r="M28" s="26" t="s">
        <v>194</v>
      </c>
    </row>
    <row r="29" spans="1:13">
      <c r="A29" s="8">
        <v>45696</v>
      </c>
      <c r="B29" s="9" t="s">
        <v>58</v>
      </c>
      <c r="C29" s="10">
        <v>1721</v>
      </c>
      <c r="D29" s="9" t="s">
        <v>31</v>
      </c>
      <c r="E29" s="19">
        <v>150</v>
      </c>
      <c r="F29" s="16" t="s">
        <v>201</v>
      </c>
      <c r="H29" s="18" t="s">
        <v>82</v>
      </c>
      <c r="I29" s="22">
        <v>60</v>
      </c>
      <c r="J29" s="22">
        <f>SUMIFS(E2:E216,D2:D216,"丽水")</f>
        <v>0</v>
      </c>
      <c r="K29" s="27">
        <f t="shared" si="1"/>
        <v>0</v>
      </c>
      <c r="L29" s="26"/>
      <c r="M29" s="26"/>
    </row>
    <row r="30" spans="1:13">
      <c r="A30" s="8">
        <v>45697</v>
      </c>
      <c r="B30" s="9" t="s">
        <v>11</v>
      </c>
      <c r="C30" s="10" t="s">
        <v>202</v>
      </c>
      <c r="D30" s="9" t="s">
        <v>13</v>
      </c>
      <c r="E30" s="19">
        <v>150</v>
      </c>
      <c r="F30" s="16" t="s">
        <v>183</v>
      </c>
      <c r="H30" s="18" t="s">
        <v>84</v>
      </c>
      <c r="I30" s="22">
        <v>265</v>
      </c>
      <c r="J30" s="22">
        <f>SUMIFS(E2:E216,D2:D216,"英德")</f>
        <v>0</v>
      </c>
      <c r="K30" s="27">
        <f t="shared" si="1"/>
        <v>0</v>
      </c>
      <c r="L30" s="26" t="s">
        <v>85</v>
      </c>
      <c r="M30" s="26" t="s">
        <v>195</v>
      </c>
    </row>
    <row r="31" spans="1:13">
      <c r="A31" s="8">
        <v>45697</v>
      </c>
      <c r="B31" s="9" t="s">
        <v>203</v>
      </c>
      <c r="C31" s="10" t="s">
        <v>204</v>
      </c>
      <c r="D31" s="9" t="s">
        <v>21</v>
      </c>
      <c r="E31" s="19">
        <v>200</v>
      </c>
      <c r="F31" s="16" t="s">
        <v>205</v>
      </c>
      <c r="H31" s="22" t="s">
        <v>79</v>
      </c>
      <c r="I31" s="22">
        <v>59</v>
      </c>
      <c r="J31" s="22">
        <f>SUMIFS(E2:E216,D2:D216,"顺德")</f>
        <v>0</v>
      </c>
      <c r="K31" s="27">
        <f t="shared" si="1"/>
        <v>0</v>
      </c>
      <c r="L31" s="26" t="s">
        <v>89</v>
      </c>
      <c r="M31" s="26" t="s">
        <v>193</v>
      </c>
    </row>
    <row r="32" spans="1:13">
      <c r="A32" s="8">
        <v>45697</v>
      </c>
      <c r="B32" s="9" t="s">
        <v>206</v>
      </c>
      <c r="C32" s="10">
        <v>106</v>
      </c>
      <c r="D32" s="9" t="s">
        <v>49</v>
      </c>
      <c r="E32" s="19">
        <v>150</v>
      </c>
      <c r="F32" s="16" t="s">
        <v>178</v>
      </c>
      <c r="H32" s="22" t="s">
        <v>91</v>
      </c>
      <c r="I32" s="22">
        <v>170</v>
      </c>
      <c r="J32" s="22">
        <f>SUMIFS(E2:E216,D2:D216,"鹤山")</f>
        <v>300</v>
      </c>
      <c r="K32" s="27">
        <f t="shared" si="1"/>
        <v>1.76470588235294</v>
      </c>
      <c r="L32" s="26" t="s">
        <v>92</v>
      </c>
      <c r="M32" s="26" t="s">
        <v>193</v>
      </c>
    </row>
    <row r="33" spans="1:13">
      <c r="A33" s="8">
        <v>45697</v>
      </c>
      <c r="B33" s="9" t="s">
        <v>207</v>
      </c>
      <c r="C33" s="10">
        <v>726</v>
      </c>
      <c r="D33" s="9" t="s">
        <v>49</v>
      </c>
      <c r="E33" s="19">
        <v>150</v>
      </c>
      <c r="F33" s="16" t="s">
        <v>178</v>
      </c>
      <c r="H33" s="22" t="s">
        <v>67</v>
      </c>
      <c r="I33" s="22">
        <v>207</v>
      </c>
      <c r="J33" s="22">
        <f>SUMIFS(E2:E217,D2:D217,"余姚")</f>
        <v>150</v>
      </c>
      <c r="K33" s="27">
        <f t="shared" si="1"/>
        <v>0.72463768115942</v>
      </c>
      <c r="L33" s="26" t="s">
        <v>93</v>
      </c>
      <c r="M33" s="16" t="s">
        <v>187</v>
      </c>
    </row>
    <row r="34" spans="1:13">
      <c r="A34" s="8">
        <v>45697</v>
      </c>
      <c r="B34" s="9" t="s">
        <v>52</v>
      </c>
      <c r="C34" s="10" t="s">
        <v>208</v>
      </c>
      <c r="D34" s="9" t="s">
        <v>54</v>
      </c>
      <c r="E34" s="19">
        <v>150</v>
      </c>
      <c r="F34" s="16" t="s">
        <v>193</v>
      </c>
      <c r="H34" s="22" t="s">
        <v>17</v>
      </c>
      <c r="I34" s="22">
        <v>668</v>
      </c>
      <c r="J34" s="22">
        <f>SUMIFS(E2:E218,D2:D218,"慈溪")</f>
        <v>350</v>
      </c>
      <c r="K34" s="27">
        <f t="shared" si="1"/>
        <v>0.523952095808383</v>
      </c>
      <c r="L34" s="26" t="s">
        <v>95</v>
      </c>
      <c r="M34" s="16" t="s">
        <v>187</v>
      </c>
    </row>
    <row r="35" spans="1:13">
      <c r="A35" s="8">
        <v>45698</v>
      </c>
      <c r="B35" s="9" t="s">
        <v>199</v>
      </c>
      <c r="C35" s="10" t="s">
        <v>209</v>
      </c>
      <c r="D35" s="9" t="s">
        <v>17</v>
      </c>
      <c r="E35" s="19">
        <v>100</v>
      </c>
      <c r="F35" s="16" t="s">
        <v>187</v>
      </c>
      <c r="H35" s="22" t="s">
        <v>21</v>
      </c>
      <c r="I35" s="22">
        <v>851</v>
      </c>
      <c r="J35" s="22">
        <f>SUMIFS(E2:E219,D2:D219,"惠州")</f>
        <v>200</v>
      </c>
      <c r="K35" s="27">
        <f t="shared" si="1"/>
        <v>0.235017626321974</v>
      </c>
      <c r="L35" s="26" t="s">
        <v>98</v>
      </c>
      <c r="M35" s="16" t="s">
        <v>205</v>
      </c>
    </row>
    <row r="36" spans="1:13">
      <c r="A36" s="8">
        <v>45698</v>
      </c>
      <c r="B36" s="9" t="s">
        <v>210</v>
      </c>
      <c r="C36" s="10">
        <v>516</v>
      </c>
      <c r="D36" s="9" t="s">
        <v>67</v>
      </c>
      <c r="E36" s="19">
        <v>150</v>
      </c>
      <c r="F36" s="16" t="s">
        <v>187</v>
      </c>
      <c r="H36" s="22" t="s">
        <v>101</v>
      </c>
      <c r="I36" s="22">
        <v>82</v>
      </c>
      <c r="J36" s="22">
        <f>SUMIFS(E2:E222,D2:D222,"南通")</f>
        <v>0</v>
      </c>
      <c r="K36" s="27">
        <f t="shared" si="1"/>
        <v>0</v>
      </c>
      <c r="L36" s="26" t="s">
        <v>102</v>
      </c>
      <c r="M36" s="26"/>
    </row>
    <row r="37" spans="1:13">
      <c r="A37" s="8">
        <v>45698</v>
      </c>
      <c r="B37" s="9" t="s">
        <v>211</v>
      </c>
      <c r="C37" s="10" t="s">
        <v>212</v>
      </c>
      <c r="D37" s="9" t="s">
        <v>213</v>
      </c>
      <c r="E37" s="19">
        <v>600</v>
      </c>
      <c r="F37" s="16" t="s">
        <v>214</v>
      </c>
      <c r="H37" s="22" t="s">
        <v>25</v>
      </c>
      <c r="I37" s="22">
        <v>357</v>
      </c>
      <c r="J37" s="22">
        <f>SUMIFS(E1:E224,D1:D224,"佛冈")</f>
        <v>300</v>
      </c>
      <c r="K37" s="27">
        <f t="shared" si="1"/>
        <v>0.840336134453782</v>
      </c>
      <c r="L37" s="26" t="s">
        <v>105</v>
      </c>
      <c r="M37" s="16" t="s">
        <v>215</v>
      </c>
    </row>
    <row r="38" spans="1:13">
      <c r="A38" s="8">
        <v>45698</v>
      </c>
      <c r="B38" s="9" t="s">
        <v>216</v>
      </c>
      <c r="C38" s="10">
        <v>819</v>
      </c>
      <c r="D38" s="9" t="s">
        <v>91</v>
      </c>
      <c r="E38" s="19">
        <v>300</v>
      </c>
      <c r="F38" s="16" t="s">
        <v>193</v>
      </c>
      <c r="H38" s="22" t="s">
        <v>108</v>
      </c>
      <c r="I38" s="22">
        <v>76</v>
      </c>
      <c r="J38" s="22">
        <f>SUMIFS(E2:E225,D2:D225,"连平")</f>
        <v>0</v>
      </c>
      <c r="K38" s="27">
        <f t="shared" si="1"/>
        <v>0</v>
      </c>
      <c r="L38" s="26" t="s">
        <v>109</v>
      </c>
      <c r="M38" s="26"/>
    </row>
    <row r="39" spans="1:13">
      <c r="A39" s="8">
        <v>45698</v>
      </c>
      <c r="B39" s="9" t="s">
        <v>23</v>
      </c>
      <c r="C39" s="10" t="s">
        <v>24</v>
      </c>
      <c r="D39" s="9" t="s">
        <v>25</v>
      </c>
      <c r="E39" s="19">
        <v>300</v>
      </c>
      <c r="F39" s="16" t="s">
        <v>215</v>
      </c>
      <c r="H39" s="22" t="s">
        <v>111</v>
      </c>
      <c r="I39" s="22">
        <v>4</v>
      </c>
      <c r="J39" s="22">
        <f>SUMIFS(E16:E226,D16:D226,"阳江")</f>
        <v>0</v>
      </c>
      <c r="K39" s="27">
        <f t="shared" si="1"/>
        <v>0</v>
      </c>
      <c r="L39" s="26"/>
      <c r="M39" s="26"/>
    </row>
    <row r="40" spans="1:13">
      <c r="A40" s="8">
        <v>45698</v>
      </c>
      <c r="B40" s="9" t="s">
        <v>52</v>
      </c>
      <c r="C40" s="10" t="s">
        <v>217</v>
      </c>
      <c r="D40" s="9" t="s">
        <v>54</v>
      </c>
      <c r="E40" s="19">
        <v>150</v>
      </c>
      <c r="F40" s="16" t="s">
        <v>193</v>
      </c>
      <c r="H40" s="22" t="s">
        <v>112</v>
      </c>
      <c r="I40" s="22">
        <v>321</v>
      </c>
      <c r="J40" s="22">
        <f>SUMIFS(E16:E227,D16:D227,"梅州")</f>
        <v>0</v>
      </c>
      <c r="K40" s="27">
        <f t="shared" si="1"/>
        <v>0</v>
      </c>
      <c r="L40" s="26" t="s">
        <v>113</v>
      </c>
      <c r="M40" s="26"/>
    </row>
    <row r="41" spans="1:13">
      <c r="A41" s="8">
        <v>45698</v>
      </c>
      <c r="B41" s="9" t="s">
        <v>39</v>
      </c>
      <c r="C41" s="10" t="s">
        <v>218</v>
      </c>
      <c r="D41" s="9" t="s">
        <v>26</v>
      </c>
      <c r="E41" s="19">
        <v>150</v>
      </c>
      <c r="F41" s="16" t="s">
        <v>219</v>
      </c>
      <c r="H41" s="22" t="s">
        <v>115</v>
      </c>
      <c r="I41" s="22">
        <v>3</v>
      </c>
      <c r="J41" s="22">
        <f>SUMIFS(E16:E228,D16:D228,"江门")</f>
        <v>0</v>
      </c>
      <c r="K41" s="27">
        <f t="shared" si="1"/>
        <v>0</v>
      </c>
      <c r="L41" s="26" t="s">
        <v>116</v>
      </c>
      <c r="M41" s="26"/>
    </row>
    <row r="42" spans="1:13">
      <c r="A42" s="8">
        <v>45698</v>
      </c>
      <c r="B42" s="9" t="s">
        <v>133</v>
      </c>
      <c r="C42" s="10">
        <v>419</v>
      </c>
      <c r="D42" s="9" t="s">
        <v>51</v>
      </c>
      <c r="E42" s="19">
        <v>110</v>
      </c>
      <c r="F42" s="16" t="s">
        <v>180</v>
      </c>
      <c r="H42" s="22" t="s">
        <v>118</v>
      </c>
      <c r="I42" s="22">
        <v>343</v>
      </c>
      <c r="J42" s="22">
        <f>SUMIFS(E16:E230,D16:D230,"浏阳")</f>
        <v>0</v>
      </c>
      <c r="K42" s="27">
        <f t="shared" si="1"/>
        <v>0</v>
      </c>
      <c r="L42" s="26" t="s">
        <v>119</v>
      </c>
      <c r="M42" s="26" t="s">
        <v>195</v>
      </c>
    </row>
    <row r="43" spans="1:13">
      <c r="A43" s="8">
        <v>45699</v>
      </c>
      <c r="B43" s="9" t="s">
        <v>11</v>
      </c>
      <c r="C43" s="10" t="s">
        <v>220</v>
      </c>
      <c r="D43" s="9" t="s">
        <v>13</v>
      </c>
      <c r="E43" s="19">
        <v>150</v>
      </c>
      <c r="F43" s="16" t="s">
        <v>183</v>
      </c>
      <c r="H43" s="22" t="s">
        <v>88</v>
      </c>
      <c r="I43" s="22">
        <v>261</v>
      </c>
      <c r="J43" s="22">
        <f>SUMIFS(E2:E216,D2:D216,"金华")</f>
        <v>0</v>
      </c>
      <c r="K43" s="27">
        <f t="shared" si="1"/>
        <v>0</v>
      </c>
      <c r="L43" s="26" t="s">
        <v>121</v>
      </c>
      <c r="M43" s="26" t="s">
        <v>221</v>
      </c>
    </row>
    <row r="44" spans="8:13">
      <c r="H44" s="20" t="s">
        <v>56</v>
      </c>
      <c r="I44" s="20">
        <f>SUM(I19:I43)</f>
        <v>5292</v>
      </c>
      <c r="J44" s="20">
        <f>SUM(J22:J43)</f>
        <v>1750</v>
      </c>
      <c r="K44" s="25">
        <f t="shared" si="1"/>
        <v>0.330687830687831</v>
      </c>
      <c r="L44" s="26"/>
      <c r="M44" s="26"/>
    </row>
  </sheetData>
  <mergeCells count="2">
    <mergeCell ref="H1:K1"/>
    <mergeCell ref="H20:K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2025-01-06T01:45:00Z</dcterms:created>
  <dcterms:modified xsi:type="dcterms:W3CDTF">2025-02-11T11:16:18Z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