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 activeTab="1"/>
  </bookViews>
  <sheets>
    <sheet name="核算" sheetId="3" r:id="rId1"/>
    <sheet name="项目明细" sheetId="1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D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只输入工龄前6位</t>
        </r>
        <r>
          <rPr>
            <sz val="10"/>
            <rFont val="宋体"/>
            <charset val="134"/>
          </rPr>
          <t xml:space="preserve">
  - 郑逸群</t>
        </r>
      </text>
    </comment>
    <comment ref="C2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交通补贴500
通讯补贴300
合计7700
2019/8/2</t>
        </r>
        <r>
          <rPr>
            <sz val="10"/>
            <rFont val="宋体"/>
            <charset val="134"/>
          </rPr>
          <t xml:space="preserve">
  - 郑逸群</t>
        </r>
      </text>
    </comment>
    <comment ref="C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通讯补贴300
交通补贴200
合计5900
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comments2.xml><?xml version="1.0" encoding="utf-8"?>
<comments xmlns="http://schemas.openxmlformats.org/spreadsheetml/2006/main">
  <authors>
    <author>Redmi</author>
  </authors>
  <commentList>
    <comment ref="M18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总系数</t>
        </r>
      </text>
    </comment>
  </commentList>
</comments>
</file>

<file path=xl/sharedStrings.xml><?xml version="1.0" encoding="utf-8"?>
<sst xmlns="http://schemas.openxmlformats.org/spreadsheetml/2006/main" count="266" uniqueCount="131">
  <si>
    <t>序号</t>
  </si>
  <si>
    <t>部门</t>
  </si>
  <si>
    <t>姓名</t>
  </si>
  <si>
    <t>入职时间</t>
  </si>
  <si>
    <t>手机号</t>
  </si>
  <si>
    <t>身份证号码</t>
  </si>
  <si>
    <t>银行卡号</t>
  </si>
  <si>
    <t>开户行</t>
  </si>
  <si>
    <t>奖金</t>
  </si>
  <si>
    <t>应发合计</t>
  </si>
  <si>
    <t>银行实发</t>
  </si>
  <si>
    <t>工程部</t>
  </si>
  <si>
    <t>余峰</t>
  </si>
  <si>
    <t>362325198407262955</t>
  </si>
  <si>
    <t>6230910199086451909</t>
  </si>
  <si>
    <t>杭州联合银行笕桥支行</t>
  </si>
  <si>
    <t>廖玉苗</t>
  </si>
  <si>
    <t>422802199104072111</t>
  </si>
  <si>
    <t>6230910199102145659</t>
  </si>
  <si>
    <t>杭州联合银行石桥支行</t>
  </si>
  <si>
    <t>赖翔</t>
  </si>
  <si>
    <t>360781199903061031</t>
  </si>
  <si>
    <t>6230910199156484079</t>
  </si>
  <si>
    <t>祝如松</t>
  </si>
  <si>
    <t>231102199005180411</t>
  </si>
  <si>
    <t>6230910199128475882</t>
  </si>
  <si>
    <t>贺振</t>
  </si>
  <si>
    <t>370405200201071010</t>
  </si>
  <si>
    <t>6230910199181546066</t>
  </si>
  <si>
    <t>杭州联合银行石祥支行</t>
  </si>
  <si>
    <t>黎云聪</t>
  </si>
  <si>
    <t>429001200306077430</t>
  </si>
  <si>
    <t>6230910199181768074</t>
  </si>
  <si>
    <t>杭州联合银行</t>
  </si>
  <si>
    <t>孙红主</t>
  </si>
  <si>
    <t>340823198801086119</t>
  </si>
  <si>
    <t>6230910199181742624</t>
  </si>
  <si>
    <t>杭州联合银行康桥支行</t>
  </si>
  <si>
    <t>项目类别</t>
  </si>
  <si>
    <t>城市</t>
  </si>
  <si>
    <t>项目名称</t>
  </si>
  <si>
    <t>安装量</t>
  </si>
  <si>
    <t>签约量</t>
  </si>
  <si>
    <t>安装率</t>
  </si>
  <si>
    <t>是否放线</t>
  </si>
  <si>
    <t>施工人员/天数</t>
  </si>
  <si>
    <t>机房+楼层施工</t>
  </si>
  <si>
    <t>入户安装时间</t>
  </si>
  <si>
    <t>总工时</t>
  </si>
  <si>
    <t>施工日志</t>
  </si>
  <si>
    <t>西安泊寓项目</t>
  </si>
  <si>
    <t>西安</t>
  </si>
  <si>
    <t>公馆店</t>
  </si>
  <si>
    <t>否</t>
  </si>
  <si>
    <t>1.余峰5天
2.祝如松5天
3.廖玉苗33天
4.赖翔35天
5.黎云聪35天
6.贺振34天
7.罗艳刚10天
8.罗勇军13天
9.朱家银22天
10.孙红主31天</t>
  </si>
  <si>
    <t>12月27日-12月28日</t>
  </si>
  <si>
    <t>1月1日-1月3日</t>
  </si>
  <si>
    <r>
      <rPr>
        <sz val="9"/>
        <color theme="1"/>
        <rFont val="宋体"/>
        <charset val="134"/>
        <scheme val="minor"/>
      </rPr>
      <t xml:space="preserve">12月27日-12月31日：余峰、祝如松、赖翔、黎云聪、孙红主、贺振、罗艳刚做机房施工、楼层放线、调光熔纤；廖玉苗主要负责运送物资、配合外网勘察、接收快递
1月1日-1月26日：赖翔、黎云聪、孙红主、贺振、罗勇军、朱家银主要负责入户安装切换网络；廖玉苗负责配合外网勘察施工以及外网安装上线
2月6日-2月10日：贺振、赖翔、罗艳刚、黎云聪、朱家银、廖玉苗主要负责年前剩余的入户安装。
</t>
    </r>
    <r>
      <rPr>
        <sz val="9"/>
        <color rgb="FFFF0000"/>
        <rFont val="宋体"/>
        <charset val="134"/>
        <scheme val="minor"/>
      </rPr>
      <t xml:space="preserve">特殊情况：1.大学城一期二期两家由于门店配合度非常低，导致入户安装时间非常的长，总工时也被拖的非常的长。
2.因为外网问题，影响原施工计划。外网进场时间是1月19日
</t>
    </r>
    <r>
      <rPr>
        <sz val="9"/>
        <rFont val="宋体"/>
        <charset val="134"/>
        <scheme val="minor"/>
      </rPr>
      <t>总结：1.总房间数5060，当前总安装率94.5%，总工时38天，总参与人数10人
2.钟楼店154间是由赖翔廖玉苗两人两天单独完成其余人员未参与，这笔需要另外算。</t>
    </r>
  </si>
  <si>
    <t>南稍门</t>
  </si>
  <si>
    <t>1月5日-1月11日</t>
  </si>
  <si>
    <t>软件园</t>
  </si>
  <si>
    <t>1月6日
1月8日-1月10日</t>
  </si>
  <si>
    <t>大学城一期</t>
  </si>
  <si>
    <t>12月29日-12月30日</t>
  </si>
  <si>
    <t>1月14日-1月21日
1月24日-1月25日</t>
  </si>
  <si>
    <t>图书馆</t>
  </si>
  <si>
    <t>12月30日-12月31日</t>
  </si>
  <si>
    <t>1月10日-1月15日</t>
  </si>
  <si>
    <t>大学城二期</t>
  </si>
  <si>
    <t>1月10日-1月25日</t>
  </si>
  <si>
    <t>锦业路</t>
  </si>
  <si>
    <t>1月18日-1月21日</t>
  </si>
  <si>
    <t>电子城</t>
  </si>
  <si>
    <t>1月22日-1月26日
2月6日-2月10日</t>
  </si>
  <si>
    <t>高新旗舰店</t>
  </si>
  <si>
    <t>1月20日-1月23日
1月25日-1月26日
2月6日-2月10日</t>
  </si>
  <si>
    <t>钟楼店</t>
  </si>
  <si>
    <t>赖翔、廖玉苗</t>
  </si>
  <si>
    <t>2月10日-2月10日</t>
  </si>
  <si>
    <t>2月12日-2月12日</t>
  </si>
  <si>
    <t>2天</t>
  </si>
  <si>
    <t>主管助理</t>
  </si>
  <si>
    <t>高</t>
  </si>
  <si>
    <t>周蒙达</t>
  </si>
  <si>
    <t>中</t>
  </si>
  <si>
    <t>柏涛</t>
  </si>
  <si>
    <t>初</t>
  </si>
  <si>
    <t>周逸晋</t>
  </si>
  <si>
    <t>前9个项目总奖金</t>
  </si>
  <si>
    <t>黄熙文</t>
  </si>
  <si>
    <t>罗艳刚</t>
  </si>
  <si>
    <t>罗勇军</t>
  </si>
  <si>
    <t>钟楼奖金</t>
  </si>
  <si>
    <t>颜煌碧</t>
  </si>
  <si>
    <t>总合计奖金：28074</t>
  </si>
  <si>
    <t>杨璐</t>
  </si>
  <si>
    <t>朱家银</t>
  </si>
  <si>
    <t>翟洪权</t>
  </si>
  <si>
    <t>谢江</t>
  </si>
  <si>
    <t>马晨宇</t>
  </si>
  <si>
    <t>黄培豪</t>
  </si>
  <si>
    <t>郭晓峰</t>
  </si>
  <si>
    <t>张坪</t>
  </si>
  <si>
    <t>项目规格</t>
  </si>
  <si>
    <t>地区</t>
  </si>
  <si>
    <t>项目体量（房间数/板块/弱电）</t>
  </si>
  <si>
    <t>施工难度（是否放线）</t>
  </si>
  <si>
    <t>施工人员</t>
  </si>
  <si>
    <t>长租公寓项目-建设</t>
  </si>
  <si>
    <t>武汉</t>
  </si>
  <si>
    <t>弗蕾亚-武汉辰月母婴中心</t>
  </si>
  <si>
    <t>李龙剑</t>
  </si>
  <si>
    <t>联投-保利云上</t>
  </si>
  <si>
    <t>李龙剑
张坪</t>
  </si>
  <si>
    <t>港寓-武汉明欣店</t>
  </si>
  <si>
    <t>深圳</t>
  </si>
  <si>
    <t>泊寓-深圳南头古城店第一批建设</t>
  </si>
  <si>
    <t>是</t>
  </si>
  <si>
    <t>黄熙文
黄培豪
余峰
祝如松</t>
  </si>
  <si>
    <t>泊寓-华舍海雅缤纷城店</t>
  </si>
  <si>
    <t>黄熙文
黄培豪</t>
  </si>
  <si>
    <t>商业项目-建设</t>
  </si>
  <si>
    <t>常州</t>
  </si>
  <si>
    <t>万洋（常州）众创城</t>
  </si>
  <si>
    <t>二类</t>
  </si>
  <si>
    <t>商业项目-公寓安装</t>
  </si>
  <si>
    <t>漳州</t>
  </si>
  <si>
    <t>万洋（龙海）众创城</t>
  </si>
  <si>
    <t>广州</t>
  </si>
  <si>
    <t>万洋（从化）众创城</t>
  </si>
  <si>
    <t>余峰
祝如松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</si>
</sst>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);[Red]\(0\)"/>
    <numFmt numFmtId="179" formatCode="yyyy/mm/dd"/>
    <numFmt numFmtId="180" formatCode="0_ "/>
    <numFmt numFmtId="181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1"/>
      <color theme="0"/>
      <name val="宋体"/>
      <charset val="134"/>
    </font>
    <font>
      <sz val="14"/>
      <color rgb="FFFFFFFF"/>
      <name val="华文细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2D54A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1" xfId="0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20" sqref="H20"/>
    </sheetView>
  </sheetViews>
  <sheetFormatPr defaultColWidth="9" defaultRowHeight="13.5"/>
  <cols>
    <col min="4" max="4" width="11.5" customWidth="1"/>
    <col min="5" max="5" width="13.75" customWidth="1"/>
    <col min="7" max="7" width="21.5" customWidth="1"/>
    <col min="8" max="8" width="21.25" customWidth="1"/>
    <col min="9" max="9" width="12.625"/>
    <col min="10" max="10" width="10.375" customWidth="1"/>
    <col min="11" max="11" width="12.625"/>
  </cols>
  <sheetData>
    <row r="1" s="35" customFormat="1" ht="26" customHeight="1" spans="1:11">
      <c r="A1" s="37" t="s">
        <v>0</v>
      </c>
      <c r="B1" s="37" t="s">
        <v>1</v>
      </c>
      <c r="C1" s="38" t="s">
        <v>2</v>
      </c>
      <c r="D1" s="39" t="s">
        <v>3</v>
      </c>
      <c r="E1" s="37" t="s">
        <v>4</v>
      </c>
      <c r="F1" s="37" t="s">
        <v>5</v>
      </c>
      <c r="G1" s="40" t="s">
        <v>6</v>
      </c>
      <c r="H1" s="37" t="s">
        <v>7</v>
      </c>
      <c r="I1" s="44" t="s">
        <v>8</v>
      </c>
      <c r="J1" s="45" t="s">
        <v>9</v>
      </c>
      <c r="K1" s="46" t="s">
        <v>10</v>
      </c>
    </row>
    <row r="2" s="35" customFormat="1" ht="26" customHeight="1" spans="1:11">
      <c r="A2" s="37">
        <v>1</v>
      </c>
      <c r="B2" s="37" t="s">
        <v>11</v>
      </c>
      <c r="C2" s="38" t="s">
        <v>12</v>
      </c>
      <c r="D2" s="39">
        <v>43679</v>
      </c>
      <c r="E2" s="37">
        <v>13757131242</v>
      </c>
      <c r="F2" s="49" t="s">
        <v>13</v>
      </c>
      <c r="G2" s="50" t="s">
        <v>14</v>
      </c>
      <c r="H2" s="37" t="s">
        <v>15</v>
      </c>
      <c r="I2" s="44">
        <f>VLOOKUP(C2,项目明细!G15:I24,3,0)</f>
        <v>793.732283464567</v>
      </c>
      <c r="J2" s="45">
        <f t="shared" ref="J2:J8" si="0">I2</f>
        <v>793.732283464567</v>
      </c>
      <c r="K2" s="46">
        <f t="shared" ref="K2:K8" si="1">J2</f>
        <v>793.732283464567</v>
      </c>
    </row>
    <row r="3" s="35" customFormat="1" ht="26" customHeight="1" spans="1:11">
      <c r="A3" s="37">
        <v>2</v>
      </c>
      <c r="B3" s="37" t="s">
        <v>11</v>
      </c>
      <c r="C3" s="38" t="s">
        <v>16</v>
      </c>
      <c r="D3" s="39">
        <v>43959</v>
      </c>
      <c r="E3" s="37">
        <v>18972408123</v>
      </c>
      <c r="F3" s="49" t="s">
        <v>17</v>
      </c>
      <c r="G3" s="50" t="s">
        <v>18</v>
      </c>
      <c r="H3" s="37" t="s">
        <v>19</v>
      </c>
      <c r="I3" s="44">
        <f>VLOOKUP(C3,项目明细!G16:I25,3,0)</f>
        <v>3500</v>
      </c>
      <c r="J3" s="45">
        <f t="shared" si="0"/>
        <v>3500</v>
      </c>
      <c r="K3" s="46">
        <f t="shared" si="1"/>
        <v>3500</v>
      </c>
    </row>
    <row r="4" s="35" customFormat="1" ht="26" customHeight="1" spans="1:11">
      <c r="A4" s="37">
        <v>3</v>
      </c>
      <c r="B4" s="37" t="s">
        <v>11</v>
      </c>
      <c r="C4" s="38" t="s">
        <v>20</v>
      </c>
      <c r="D4" s="39">
        <v>44958</v>
      </c>
      <c r="E4" s="37">
        <v>18370454724</v>
      </c>
      <c r="F4" s="49" t="s">
        <v>21</v>
      </c>
      <c r="G4" s="50" t="s">
        <v>22</v>
      </c>
      <c r="H4" s="37" t="s">
        <v>19</v>
      </c>
      <c r="I4" s="44">
        <f>VLOOKUP(C4,项目明细!G17:I26,3,0)</f>
        <v>4923.92125984252</v>
      </c>
      <c r="J4" s="45">
        <f t="shared" si="0"/>
        <v>4923.92125984252</v>
      </c>
      <c r="K4" s="46">
        <f t="shared" si="1"/>
        <v>4923.92125984252</v>
      </c>
    </row>
    <row r="5" s="36" customFormat="1" ht="29" customHeight="1" spans="1:14">
      <c r="A5" s="37">
        <v>4</v>
      </c>
      <c r="B5" s="37" t="s">
        <v>11</v>
      </c>
      <c r="C5" s="38" t="s">
        <v>23</v>
      </c>
      <c r="D5" s="39">
        <v>45340</v>
      </c>
      <c r="E5" s="37">
        <v>13349362523</v>
      </c>
      <c r="F5" s="49" t="s">
        <v>24</v>
      </c>
      <c r="G5" s="50" t="s">
        <v>25</v>
      </c>
      <c r="H5" s="37" t="s">
        <v>19</v>
      </c>
      <c r="I5" s="44">
        <v>649.417322834646</v>
      </c>
      <c r="J5" s="45">
        <f t="shared" si="0"/>
        <v>649.417322834646</v>
      </c>
      <c r="K5" s="46">
        <f t="shared" si="1"/>
        <v>649.417322834646</v>
      </c>
      <c r="L5" s="35"/>
      <c r="M5" s="35"/>
      <c r="N5" s="35"/>
    </row>
    <row r="6" s="36" customFormat="1" ht="24" customHeight="1" spans="1:14">
      <c r="A6" s="37">
        <v>5</v>
      </c>
      <c r="B6" s="37" t="s">
        <v>11</v>
      </c>
      <c r="C6" s="38" t="s">
        <v>26</v>
      </c>
      <c r="D6" s="39">
        <v>45541</v>
      </c>
      <c r="E6" s="41">
        <v>16652047710</v>
      </c>
      <c r="F6" s="51" t="s">
        <v>27</v>
      </c>
      <c r="G6" s="52" t="s">
        <v>28</v>
      </c>
      <c r="H6" s="43" t="s">
        <v>29</v>
      </c>
      <c r="I6" s="44">
        <f>VLOOKUP(C6,项目明细!G19:I28,3,0)</f>
        <v>3434.69606299213</v>
      </c>
      <c r="J6" s="45">
        <f t="shared" si="0"/>
        <v>3434.69606299213</v>
      </c>
      <c r="K6" s="46">
        <f t="shared" si="1"/>
        <v>3434.69606299213</v>
      </c>
      <c r="L6" s="35"/>
      <c r="M6" s="35"/>
      <c r="N6" s="35"/>
    </row>
    <row r="7" s="35" customFormat="1" ht="26" customHeight="1" spans="1:11">
      <c r="A7" s="37">
        <v>6</v>
      </c>
      <c r="B7" s="37" t="s">
        <v>11</v>
      </c>
      <c r="C7" s="38" t="s">
        <v>30</v>
      </c>
      <c r="D7" s="39">
        <v>45614</v>
      </c>
      <c r="E7" s="37">
        <v>18995951878</v>
      </c>
      <c r="F7" s="49" t="s">
        <v>31</v>
      </c>
      <c r="G7" s="50" t="s">
        <v>32</v>
      </c>
      <c r="H7" s="43" t="s">
        <v>33</v>
      </c>
      <c r="I7" s="47">
        <v>3535.71653543307</v>
      </c>
      <c r="J7" s="45">
        <f t="shared" si="0"/>
        <v>3535.71653543307</v>
      </c>
      <c r="K7" s="46">
        <f t="shared" si="1"/>
        <v>3535.71653543307</v>
      </c>
    </row>
    <row r="8" s="35" customFormat="1" ht="26" customHeight="1" spans="1:11">
      <c r="A8" s="37">
        <v>7</v>
      </c>
      <c r="B8" s="37" t="s">
        <v>11</v>
      </c>
      <c r="C8" s="38" t="s">
        <v>34</v>
      </c>
      <c r="D8" s="39">
        <v>45622</v>
      </c>
      <c r="E8" s="40">
        <v>19210966195</v>
      </c>
      <c r="F8" s="49" t="s">
        <v>35</v>
      </c>
      <c r="G8" s="50" t="s">
        <v>36</v>
      </c>
      <c r="H8" s="40" t="s">
        <v>37</v>
      </c>
      <c r="I8" s="44">
        <f>VLOOKUP(C8,项目明细!G21:I30,3,0)</f>
        <v>3131.63464566929</v>
      </c>
      <c r="J8" s="45">
        <f t="shared" si="0"/>
        <v>3131.63464566929</v>
      </c>
      <c r="K8" s="46">
        <f t="shared" si="1"/>
        <v>3131.63464566929</v>
      </c>
    </row>
    <row r="9" customFormat="1" spans="9:11">
      <c r="I9" s="48">
        <f t="shared" ref="I9:K9" si="2">SUM(I2:I8)</f>
        <v>19969.1181102362</v>
      </c>
      <c r="J9" s="48">
        <f t="shared" si="2"/>
        <v>19969.1181102362</v>
      </c>
      <c r="K9" s="48">
        <f t="shared" si="2"/>
        <v>19969.1181102362</v>
      </c>
    </row>
  </sheetData>
  <dataValidations count="1">
    <dataValidation allowBlank="1" showInputMessage="1" showErrorMessage="1" sqref="D2:D3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H30" sqref="H30"/>
    </sheetView>
  </sheetViews>
  <sheetFormatPr defaultColWidth="10.4583333333333" defaultRowHeight="14.25"/>
  <cols>
    <col min="1" max="1" width="12.75" style="19" customWidth="1"/>
    <col min="2" max="2" width="7.38333333333333" style="19" customWidth="1"/>
    <col min="3" max="3" width="19.375" style="19" customWidth="1"/>
    <col min="4" max="4" width="15.75" style="19" customWidth="1"/>
    <col min="5" max="5" width="22" style="19" customWidth="1"/>
    <col min="6" max="6" width="17.625" style="19" customWidth="1"/>
    <col min="7" max="7" width="18.875" style="19" customWidth="1"/>
    <col min="8" max="8" width="18.7416666666667" style="19" customWidth="1"/>
    <col min="9" max="9" width="21.4583333333333" style="19" customWidth="1"/>
    <col min="10" max="10" width="20.1916666666667" style="19" customWidth="1"/>
    <col min="11" max="11" width="14.2583333333333" style="20" customWidth="1"/>
    <col min="12" max="12" width="39.075" style="19" customWidth="1"/>
    <col min="13" max="13" width="15.125" style="19" customWidth="1"/>
    <col min="14" max="14" width="12.125" style="19" customWidth="1"/>
    <col min="15" max="15" width="17.125" style="19" customWidth="1"/>
    <col min="16" max="16" width="33.0083333333333" style="19" customWidth="1"/>
    <col min="17" max="17" width="27.2416666666667" style="19" customWidth="1"/>
    <col min="18" max="16384" width="10.4583333333333" style="19"/>
  </cols>
  <sheetData>
    <row r="1" spans="1:12">
      <c r="A1" s="12" t="s">
        <v>38</v>
      </c>
      <c r="B1" s="12" t="s">
        <v>39</v>
      </c>
      <c r="C1" s="12" t="s">
        <v>40</v>
      </c>
      <c r="D1" s="12" t="s">
        <v>41</v>
      </c>
      <c r="E1" s="12" t="s">
        <v>42</v>
      </c>
      <c r="F1" s="12" t="s">
        <v>43</v>
      </c>
      <c r="G1" s="12" t="s">
        <v>44</v>
      </c>
      <c r="H1" s="12" t="s">
        <v>45</v>
      </c>
      <c r="I1" s="12" t="s">
        <v>46</v>
      </c>
      <c r="J1" s="12" t="s">
        <v>47</v>
      </c>
      <c r="K1" s="26" t="s">
        <v>48</v>
      </c>
      <c r="L1" s="12" t="s">
        <v>49</v>
      </c>
    </row>
    <row r="2" spans="1:12">
      <c r="A2" s="21" t="s">
        <v>50</v>
      </c>
      <c r="B2" s="22" t="s">
        <v>51</v>
      </c>
      <c r="C2" s="12" t="s">
        <v>52</v>
      </c>
      <c r="D2" s="12">
        <v>154</v>
      </c>
      <c r="E2" s="12">
        <v>159</v>
      </c>
      <c r="F2" s="23">
        <f>D2/E2</f>
        <v>0.968553459119497</v>
      </c>
      <c r="G2" s="12" t="s">
        <v>53</v>
      </c>
      <c r="H2" s="13" t="s">
        <v>54</v>
      </c>
      <c r="I2" s="27" t="s">
        <v>55</v>
      </c>
      <c r="J2" s="12" t="s">
        <v>56</v>
      </c>
      <c r="K2" s="28">
        <v>4</v>
      </c>
      <c r="L2" s="29" t="s">
        <v>57</v>
      </c>
    </row>
    <row r="3" spans="2:12">
      <c r="B3" s="22" t="s">
        <v>51</v>
      </c>
      <c r="C3" s="12" t="s">
        <v>58</v>
      </c>
      <c r="D3" s="12">
        <v>650</v>
      </c>
      <c r="E3" s="12">
        <v>694</v>
      </c>
      <c r="F3" s="23">
        <f t="shared" ref="F3:F10" si="0">D3/E3</f>
        <v>0.936599423631124</v>
      </c>
      <c r="G3" s="12" t="s">
        <v>53</v>
      </c>
      <c r="H3" s="16"/>
      <c r="I3" s="27" t="s">
        <v>55</v>
      </c>
      <c r="J3" s="12" t="s">
        <v>59</v>
      </c>
      <c r="K3" s="28">
        <v>8</v>
      </c>
      <c r="L3" s="29"/>
    </row>
    <row r="4" ht="28.5" spans="2:12">
      <c r="B4" s="22" t="s">
        <v>51</v>
      </c>
      <c r="C4" s="12" t="s">
        <v>60</v>
      </c>
      <c r="D4" s="12">
        <v>439</v>
      </c>
      <c r="E4" s="12">
        <v>443</v>
      </c>
      <c r="F4" s="23">
        <f t="shared" si="0"/>
        <v>0.99097065462754</v>
      </c>
      <c r="G4" s="12" t="s">
        <v>53</v>
      </c>
      <c r="H4" s="16"/>
      <c r="I4" s="27" t="s">
        <v>55</v>
      </c>
      <c r="J4" s="30" t="s">
        <v>61</v>
      </c>
      <c r="K4" s="28">
        <v>5</v>
      </c>
      <c r="L4" s="29"/>
    </row>
    <row r="5" ht="28.5" spans="2:14">
      <c r="B5" s="22" t="s">
        <v>51</v>
      </c>
      <c r="C5" s="12" t="s">
        <v>62</v>
      </c>
      <c r="D5" s="12">
        <v>455</v>
      </c>
      <c r="E5" s="12">
        <v>506</v>
      </c>
      <c r="F5" s="23">
        <f t="shared" si="0"/>
        <v>0.899209486166008</v>
      </c>
      <c r="G5" s="12" t="s">
        <v>53</v>
      </c>
      <c r="H5" s="16"/>
      <c r="I5" s="27" t="s">
        <v>63</v>
      </c>
      <c r="J5" s="30" t="s">
        <v>64</v>
      </c>
      <c r="K5" s="28">
        <v>11</v>
      </c>
      <c r="L5" s="29"/>
      <c r="M5" s="19">
        <f>4906*6*0.89</f>
        <v>26198.04</v>
      </c>
      <c r="N5" s="19">
        <v>36</v>
      </c>
    </row>
    <row r="6" spans="2:12">
      <c r="B6" s="22" t="s">
        <v>51</v>
      </c>
      <c r="C6" s="12" t="s">
        <v>65</v>
      </c>
      <c r="D6" s="12">
        <v>536</v>
      </c>
      <c r="E6" s="12">
        <v>591</v>
      </c>
      <c r="F6" s="23">
        <f t="shared" si="0"/>
        <v>0.906937394247039</v>
      </c>
      <c r="G6" s="12" t="s">
        <v>53</v>
      </c>
      <c r="H6" s="16"/>
      <c r="I6" s="27" t="s">
        <v>66</v>
      </c>
      <c r="J6" s="12" t="s">
        <v>67</v>
      </c>
      <c r="K6" s="28">
        <v>7</v>
      </c>
      <c r="L6" s="29"/>
    </row>
    <row r="7" spans="2:12">
      <c r="B7" s="22" t="s">
        <v>51</v>
      </c>
      <c r="C7" s="12" t="s">
        <v>68</v>
      </c>
      <c r="D7" s="12">
        <v>270</v>
      </c>
      <c r="E7" s="12">
        <v>293</v>
      </c>
      <c r="F7" s="23">
        <f t="shared" si="0"/>
        <v>0.921501706484642</v>
      </c>
      <c r="G7" s="12" t="s">
        <v>53</v>
      </c>
      <c r="H7" s="16"/>
      <c r="I7" s="27" t="s">
        <v>55</v>
      </c>
      <c r="J7" s="12" t="s">
        <v>69</v>
      </c>
      <c r="K7" s="28">
        <v>17</v>
      </c>
      <c r="L7" s="29"/>
    </row>
    <row r="8" spans="2:14">
      <c r="B8" s="22" t="s">
        <v>51</v>
      </c>
      <c r="C8" s="12" t="s">
        <v>70</v>
      </c>
      <c r="D8" s="12">
        <v>496</v>
      </c>
      <c r="E8" s="12">
        <v>511</v>
      </c>
      <c r="F8" s="23">
        <f t="shared" si="0"/>
        <v>0.970645792563601</v>
      </c>
      <c r="G8" s="12" t="s">
        <v>53</v>
      </c>
      <c r="H8" s="16"/>
      <c r="I8" s="27" t="s">
        <v>63</v>
      </c>
      <c r="J8" s="12" t="s">
        <v>71</v>
      </c>
      <c r="K8" s="28">
        <v>5</v>
      </c>
      <c r="L8" s="29"/>
      <c r="M8" s="19">
        <f>M5/N5</f>
        <v>727.723333333333</v>
      </c>
      <c r="N8" s="19">
        <f>M8/10</f>
        <v>72.7723333333333</v>
      </c>
    </row>
    <row r="9" ht="28.5" spans="2:12">
      <c r="B9" s="22" t="s">
        <v>51</v>
      </c>
      <c r="C9" s="12" t="s">
        <v>72</v>
      </c>
      <c r="D9" s="12">
        <v>802</v>
      </c>
      <c r="E9" s="12">
        <v>850</v>
      </c>
      <c r="F9" s="23">
        <f t="shared" si="0"/>
        <v>0.943529411764706</v>
      </c>
      <c r="G9" s="12" t="s">
        <v>53</v>
      </c>
      <c r="H9" s="16"/>
      <c r="I9" s="27" t="s">
        <v>63</v>
      </c>
      <c r="J9" s="30" t="s">
        <v>73</v>
      </c>
      <c r="K9" s="28">
        <v>11</v>
      </c>
      <c r="L9" s="29"/>
    </row>
    <row r="10" ht="42.75" spans="2:15">
      <c r="B10" s="22" t="s">
        <v>51</v>
      </c>
      <c r="C10" s="12" t="s">
        <v>74</v>
      </c>
      <c r="D10" s="12">
        <v>780</v>
      </c>
      <c r="E10" s="12">
        <v>859</v>
      </c>
      <c r="F10" s="23">
        <f t="shared" si="0"/>
        <v>0.908032596041909</v>
      </c>
      <c r="G10" s="12" t="s">
        <v>53</v>
      </c>
      <c r="H10" s="16"/>
      <c r="I10" s="27" t="s">
        <v>63</v>
      </c>
      <c r="J10" s="30" t="s">
        <v>75</v>
      </c>
      <c r="K10" s="28">
        <v>12</v>
      </c>
      <c r="L10" s="29"/>
      <c r="N10" s="19" t="s">
        <v>20</v>
      </c>
      <c r="O10" s="19" t="s">
        <v>16</v>
      </c>
    </row>
    <row r="11" spans="2:15">
      <c r="B11" s="22" t="s">
        <v>51</v>
      </c>
      <c r="C11" s="12" t="s">
        <v>76</v>
      </c>
      <c r="D11" s="12">
        <v>154</v>
      </c>
      <c r="E11" s="12">
        <v>154</v>
      </c>
      <c r="F11" s="23">
        <v>1</v>
      </c>
      <c r="G11" s="12" t="s">
        <v>53</v>
      </c>
      <c r="H11" s="12" t="s">
        <v>77</v>
      </c>
      <c r="I11" s="27" t="s">
        <v>78</v>
      </c>
      <c r="J11" s="27" t="s">
        <v>79</v>
      </c>
      <c r="K11" s="28" t="s">
        <v>80</v>
      </c>
      <c r="L11" s="29"/>
      <c r="M11" s="19">
        <f>E11*6</f>
        <v>924</v>
      </c>
      <c r="N11" s="19">
        <f>B22/(B22+B13)*M11</f>
        <v>378</v>
      </c>
      <c r="O11" s="19">
        <f>M11-N11</f>
        <v>546</v>
      </c>
    </row>
    <row r="13" spans="1:3">
      <c r="A13" s="12" t="s">
        <v>16</v>
      </c>
      <c r="B13" s="12">
        <v>1.3</v>
      </c>
      <c r="C13" s="12" t="s">
        <v>81</v>
      </c>
    </row>
    <row r="14" spans="1:14">
      <c r="A14" s="13" t="s">
        <v>12</v>
      </c>
      <c r="B14" s="14">
        <v>1.1</v>
      </c>
      <c r="C14" s="12" t="s">
        <v>82</v>
      </c>
      <c r="M14" s="19">
        <f>4906*6*0.89</f>
        <v>26198.04</v>
      </c>
      <c r="N14" s="19">
        <v>223</v>
      </c>
    </row>
    <row r="15" spans="1:14">
      <c r="A15" s="13" t="s">
        <v>83</v>
      </c>
      <c r="B15" s="15">
        <v>0.9</v>
      </c>
      <c r="C15" s="12" t="s">
        <v>84</v>
      </c>
      <c r="G15" s="12" t="s">
        <v>12</v>
      </c>
      <c r="H15" s="12">
        <v>5</v>
      </c>
      <c r="I15" s="31">
        <f>((H15*B14)/$M$18)*$L$18</f>
        <v>793.732283464567</v>
      </c>
      <c r="J15" s="32"/>
      <c r="L15" s="25"/>
      <c r="N15" s="19">
        <f>M14/223</f>
        <v>117.48</v>
      </c>
    </row>
    <row r="16" spans="1:12">
      <c r="A16" s="13" t="s">
        <v>85</v>
      </c>
      <c r="B16" s="15">
        <v>0.7</v>
      </c>
      <c r="C16" s="12" t="s">
        <v>86</v>
      </c>
      <c r="G16" s="12" t="s">
        <v>23</v>
      </c>
      <c r="H16" s="12">
        <v>5</v>
      </c>
      <c r="I16" s="31">
        <f t="shared" ref="I16:I24" si="1">(H16*B15)/$M$18*$L$18</f>
        <v>649.417322834646</v>
      </c>
      <c r="J16" s="32"/>
      <c r="L16" s="25"/>
    </row>
    <row r="17" spans="1:12">
      <c r="A17" s="16" t="s">
        <v>87</v>
      </c>
      <c r="B17" s="15">
        <v>0.9</v>
      </c>
      <c r="C17" s="12" t="s">
        <v>84</v>
      </c>
      <c r="G17" s="12" t="s">
        <v>16</v>
      </c>
      <c r="H17" s="12">
        <v>33</v>
      </c>
      <c r="I17" s="31">
        <v>3500</v>
      </c>
      <c r="J17" s="32"/>
      <c r="L17" s="9" t="s">
        <v>88</v>
      </c>
    </row>
    <row r="18" spans="1:13">
      <c r="A18" s="16" t="s">
        <v>89</v>
      </c>
      <c r="B18" s="15">
        <v>0.7</v>
      </c>
      <c r="C18" s="12" t="s">
        <v>86</v>
      </c>
      <c r="G18" s="12" t="s">
        <v>20</v>
      </c>
      <c r="H18" s="12">
        <v>35</v>
      </c>
      <c r="I18" s="31">
        <f>(H18*B17)/$M$18*$L$18+N11</f>
        <v>4923.92125984252</v>
      </c>
      <c r="J18" s="32"/>
      <c r="L18" s="9">
        <f>4582*6</f>
        <v>27492</v>
      </c>
      <c r="M18" s="19">
        <f>B14*H15+B25*H16+H18*B22+H19*B34+H20*B30+H21*B19+H22*B20+H23*B32+H24*B33+H17*B13</f>
        <v>190.5</v>
      </c>
    </row>
    <row r="19" spans="1:13">
      <c r="A19" s="16" t="s">
        <v>90</v>
      </c>
      <c r="B19" s="15">
        <v>0.9</v>
      </c>
      <c r="C19" s="12" t="s">
        <v>84</v>
      </c>
      <c r="G19" s="12" t="s">
        <v>30</v>
      </c>
      <c r="H19" s="12">
        <v>35</v>
      </c>
      <c r="I19" s="31">
        <f>(H19*B18)/$M$18*$L$18</f>
        <v>3535.71653543307</v>
      </c>
      <c r="J19" s="32"/>
      <c r="L19" s="9"/>
      <c r="M19" s="19">
        <f>L18/M18</f>
        <v>144.314960629921</v>
      </c>
    </row>
    <row r="20" spans="1:12">
      <c r="A20" s="16" t="s">
        <v>91</v>
      </c>
      <c r="B20" s="15">
        <v>0.9</v>
      </c>
      <c r="C20" s="12" t="s">
        <v>84</v>
      </c>
      <c r="G20" s="12" t="s">
        <v>26</v>
      </c>
      <c r="H20" s="12">
        <v>34</v>
      </c>
      <c r="I20" s="31">
        <f>(H20*B30)/$M$18*$L$18</f>
        <v>3434.69606299213</v>
      </c>
      <c r="J20" s="32"/>
      <c r="L20" s="9" t="s">
        <v>92</v>
      </c>
    </row>
    <row r="21" spans="1:12">
      <c r="A21" s="12" t="s">
        <v>93</v>
      </c>
      <c r="B21" s="15">
        <v>0.7</v>
      </c>
      <c r="C21" s="12" t="s">
        <v>86</v>
      </c>
      <c r="G21" s="12" t="s">
        <v>90</v>
      </c>
      <c r="H21" s="12">
        <v>10</v>
      </c>
      <c r="I21" s="31">
        <f>(H21*B20)/$M$18*$L$18</f>
        <v>1298.83464566929</v>
      </c>
      <c r="J21" s="32"/>
      <c r="L21" s="9">
        <v>924</v>
      </c>
    </row>
    <row r="22" spans="1:12">
      <c r="A22" s="12" t="s">
        <v>20</v>
      </c>
      <c r="B22" s="15">
        <v>0.9</v>
      </c>
      <c r="C22" s="12" t="s">
        <v>84</v>
      </c>
      <c r="G22" s="12" t="s">
        <v>91</v>
      </c>
      <c r="H22" s="12">
        <v>13</v>
      </c>
      <c r="I22" s="31">
        <f t="shared" si="1"/>
        <v>1313.26614173228</v>
      </c>
      <c r="J22" s="32"/>
      <c r="L22" s="9" t="s">
        <v>94</v>
      </c>
    </row>
    <row r="23" spans="1:12">
      <c r="A23" s="12" t="s">
        <v>95</v>
      </c>
      <c r="B23" s="17">
        <v>0.7</v>
      </c>
      <c r="C23" s="12" t="s">
        <v>86</v>
      </c>
      <c r="G23" s="12" t="s">
        <v>96</v>
      </c>
      <c r="H23" s="12">
        <v>22</v>
      </c>
      <c r="I23" s="31">
        <f t="shared" si="1"/>
        <v>2857.43622047244</v>
      </c>
      <c r="J23" s="32"/>
      <c r="L23" s="25"/>
    </row>
    <row r="24" spans="1:12">
      <c r="A24" s="12" t="s">
        <v>97</v>
      </c>
      <c r="B24" s="14">
        <v>1.1</v>
      </c>
      <c r="C24" s="12" t="s">
        <v>82</v>
      </c>
      <c r="G24" s="12" t="s">
        <v>34</v>
      </c>
      <c r="H24" s="12">
        <v>31</v>
      </c>
      <c r="I24" s="31">
        <f t="shared" si="1"/>
        <v>3131.63464566929</v>
      </c>
      <c r="J24" s="32"/>
      <c r="L24" s="25"/>
    </row>
    <row r="25" spans="1:12">
      <c r="A25" s="12" t="s">
        <v>23</v>
      </c>
      <c r="B25" s="15">
        <v>0.9</v>
      </c>
      <c r="C25" s="12" t="s">
        <v>84</v>
      </c>
      <c r="G25" s="12"/>
      <c r="H25" s="12"/>
      <c r="I25" s="33">
        <f>SUM(I15:I24)</f>
        <v>25438.6551181102</v>
      </c>
      <c r="J25" s="32"/>
      <c r="L25" s="25"/>
    </row>
    <row r="26" spans="1:12">
      <c r="A26" s="12" t="s">
        <v>98</v>
      </c>
      <c r="B26" s="12">
        <v>0.9</v>
      </c>
      <c r="C26" s="12" t="s">
        <v>84</v>
      </c>
      <c r="L26" s="25"/>
    </row>
    <row r="27" spans="1:12">
      <c r="A27" s="12" t="s">
        <v>99</v>
      </c>
      <c r="B27" s="15">
        <v>0.7</v>
      </c>
      <c r="C27" s="12" t="s">
        <v>86</v>
      </c>
      <c r="L27" s="25"/>
    </row>
    <row r="28" spans="1:3">
      <c r="A28" s="12" t="s">
        <v>100</v>
      </c>
      <c r="B28" s="12">
        <v>0.9</v>
      </c>
      <c r="C28" s="12" t="s">
        <v>84</v>
      </c>
    </row>
    <row r="29" spans="1:3">
      <c r="A29" s="12" t="s">
        <v>101</v>
      </c>
      <c r="B29" s="15">
        <v>0.7</v>
      </c>
      <c r="C29" s="12" t="s">
        <v>86</v>
      </c>
    </row>
    <row r="30" spans="1:3">
      <c r="A30" s="12" t="s">
        <v>26</v>
      </c>
      <c r="B30" s="15">
        <v>0.7</v>
      </c>
      <c r="C30" s="12" t="s">
        <v>86</v>
      </c>
    </row>
    <row r="31" spans="1:11">
      <c r="A31" s="12" t="s">
        <v>102</v>
      </c>
      <c r="B31" s="15">
        <v>0.7</v>
      </c>
      <c r="C31" s="12" t="s">
        <v>86</v>
      </c>
      <c r="K31" s="34"/>
    </row>
    <row r="32" spans="1:3">
      <c r="A32" s="12" t="s">
        <v>96</v>
      </c>
      <c r="B32" s="15">
        <v>0.7</v>
      </c>
      <c r="C32" s="12" t="s">
        <v>86</v>
      </c>
    </row>
    <row r="33" spans="1:7">
      <c r="A33" s="12" t="s">
        <v>34</v>
      </c>
      <c r="B33" s="15">
        <v>0.7</v>
      </c>
      <c r="C33" s="24" t="s">
        <v>86</v>
      </c>
      <c r="D33" s="25"/>
      <c r="E33" s="25"/>
      <c r="F33" s="25"/>
      <c r="G33" s="25"/>
    </row>
    <row r="34" spans="1:7">
      <c r="A34" s="12" t="s">
        <v>30</v>
      </c>
      <c r="B34" s="15">
        <v>0.7</v>
      </c>
      <c r="C34" s="24" t="s">
        <v>86</v>
      </c>
      <c r="D34" s="25"/>
      <c r="E34" s="25"/>
      <c r="F34" s="25"/>
      <c r="G34" s="25"/>
    </row>
    <row r="35" spans="5:7">
      <c r="E35" s="25"/>
      <c r="F35" s="25"/>
      <c r="G35" s="25"/>
    </row>
    <row r="36" spans="5:7">
      <c r="E36" s="25"/>
      <c r="F36" s="25"/>
      <c r="G36" s="25"/>
    </row>
    <row r="37" spans="5:7">
      <c r="E37" s="25"/>
      <c r="F37" s="25"/>
      <c r="G37" s="25"/>
    </row>
    <row r="38" spans="5:7">
      <c r="E38" s="25"/>
      <c r="F38" s="25"/>
      <c r="G38" s="25"/>
    </row>
    <row r="39" spans="5:7">
      <c r="E39" s="25"/>
      <c r="F39" s="25"/>
      <c r="G39" s="25"/>
    </row>
    <row r="40" spans="5:7">
      <c r="E40" s="25"/>
      <c r="F40" s="25"/>
      <c r="G40" s="25"/>
    </row>
    <row r="41" spans="5:7">
      <c r="E41" s="25"/>
      <c r="F41" s="25"/>
      <c r="G41" s="25"/>
    </row>
    <row r="42" spans="5:7">
      <c r="E42" s="25"/>
      <c r="F42" s="25"/>
      <c r="G42" s="25"/>
    </row>
  </sheetData>
  <mergeCells count="3">
    <mergeCell ref="A2:A11"/>
    <mergeCell ref="H2:H10"/>
    <mergeCell ref="L2:L11"/>
  </mergeCells>
  <pageMargins left="0.75" right="0.75" top="1" bottom="1" header="0.5" footer="0.5"/>
  <headerFooter/>
  <ignoredErrors>
    <ignoredError sqref="I2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Q2" sqref="Q2:S9"/>
    </sheetView>
  </sheetViews>
  <sheetFormatPr defaultColWidth="9" defaultRowHeight="13.5"/>
  <cols>
    <col min="2" max="2" width="16" customWidth="1"/>
    <col min="3" max="3" width="23" customWidth="1"/>
    <col min="6" max="6" width="26" customWidth="1"/>
    <col min="8" max="8" width="10.375" customWidth="1"/>
    <col min="9" max="9" width="12.625" style="1"/>
    <col min="10" max="10" width="11.5" style="1"/>
    <col min="11" max="11" width="12.625" style="1"/>
    <col min="12" max="12" width="9" style="1"/>
    <col min="18" max="18" width="12.625" style="2"/>
  </cols>
  <sheetData>
    <row r="1" ht="18.75" spans="1:6">
      <c r="A1" s="3" t="s">
        <v>103</v>
      </c>
      <c r="B1" s="4" t="s">
        <v>104</v>
      </c>
      <c r="C1" s="4" t="s">
        <v>40</v>
      </c>
      <c r="D1" s="4" t="s">
        <v>105</v>
      </c>
      <c r="E1" s="4" t="s">
        <v>106</v>
      </c>
      <c r="F1" s="4" t="s">
        <v>107</v>
      </c>
    </row>
    <row r="2" ht="14.25" spans="1:18">
      <c r="A2" s="5" t="s">
        <v>108</v>
      </c>
      <c r="B2" s="5" t="s">
        <v>109</v>
      </c>
      <c r="C2" s="5" t="s">
        <v>110</v>
      </c>
      <c r="D2" s="5">
        <v>70</v>
      </c>
      <c r="E2" s="5" t="s">
        <v>53</v>
      </c>
      <c r="F2" s="6" t="s">
        <v>111</v>
      </c>
      <c r="G2" s="5">
        <v>2</v>
      </c>
      <c r="H2" s="7">
        <v>336</v>
      </c>
      <c r="I2" s="18">
        <v>336</v>
      </c>
      <c r="Q2" t="s">
        <v>111</v>
      </c>
      <c r="R2" s="1">
        <f>I2+I3</f>
        <v>1214.85</v>
      </c>
    </row>
    <row r="3" ht="28.5" spans="1:18">
      <c r="A3" s="5"/>
      <c r="B3" s="5" t="s">
        <v>109</v>
      </c>
      <c r="C3" s="5" t="s">
        <v>112</v>
      </c>
      <c r="D3" s="5">
        <v>434</v>
      </c>
      <c r="E3" s="5" t="s">
        <v>53</v>
      </c>
      <c r="F3" s="6" t="s">
        <v>113</v>
      </c>
      <c r="G3" s="5">
        <v>7</v>
      </c>
      <c r="H3" s="7">
        <v>1562.4</v>
      </c>
      <c r="I3" s="1">
        <f>C16/(C16+C32)*H3</f>
        <v>878.85</v>
      </c>
      <c r="J3" s="1">
        <f>H3-I3</f>
        <v>683.55</v>
      </c>
      <c r="Q3" t="s">
        <v>102</v>
      </c>
      <c r="R3" s="1">
        <f>J3+I4</f>
        <v>947.55</v>
      </c>
    </row>
    <row r="4" ht="14.25" spans="1:18">
      <c r="A4" s="5"/>
      <c r="B4" s="5" t="s">
        <v>109</v>
      </c>
      <c r="C4" s="5" t="s">
        <v>114</v>
      </c>
      <c r="D4" s="5">
        <v>88</v>
      </c>
      <c r="E4" s="5" t="s">
        <v>53</v>
      </c>
      <c r="F4" s="6" t="s">
        <v>102</v>
      </c>
      <c r="G4" s="5">
        <v>5</v>
      </c>
      <c r="H4" s="7">
        <v>264</v>
      </c>
      <c r="I4" s="18">
        <v>264</v>
      </c>
      <c r="Q4" t="s">
        <v>89</v>
      </c>
      <c r="R4" s="1">
        <f>I5+I6</f>
        <v>344.357708333333</v>
      </c>
    </row>
    <row r="5" ht="57" spans="1:18">
      <c r="A5" s="5"/>
      <c r="B5" s="5" t="s">
        <v>115</v>
      </c>
      <c r="C5" s="5" t="s">
        <v>116</v>
      </c>
      <c r="D5" s="5">
        <v>118</v>
      </c>
      <c r="E5" s="5" t="s">
        <v>117</v>
      </c>
      <c r="F5" s="6" t="s">
        <v>118</v>
      </c>
      <c r="G5" s="5">
        <v>3</v>
      </c>
      <c r="H5" s="7">
        <v>651.36</v>
      </c>
      <c r="I5" s="1">
        <f>C19/(C19+C29+C15+C26)*H5</f>
        <v>126.653333333333</v>
      </c>
      <c r="J5" s="1">
        <f>C29/(C19+C29+C15+C26)*H5</f>
        <v>162.84</v>
      </c>
      <c r="K5" s="1">
        <f>C15/(C19+C29+C15+C26)*H5</f>
        <v>199.026666666667</v>
      </c>
      <c r="L5" s="1">
        <f>H5-I5-J5-K5</f>
        <v>162.84</v>
      </c>
      <c r="Q5" t="s">
        <v>100</v>
      </c>
      <c r="R5" s="1">
        <f>J5+J6</f>
        <v>442.745625</v>
      </c>
    </row>
    <row r="6" ht="28.5" spans="1:19">
      <c r="A6" s="5"/>
      <c r="B6" s="5" t="s">
        <v>115</v>
      </c>
      <c r="C6" s="5" t="s">
        <v>119</v>
      </c>
      <c r="D6" s="5">
        <v>171</v>
      </c>
      <c r="E6" s="5" t="s">
        <v>53</v>
      </c>
      <c r="F6" s="6" t="s">
        <v>120</v>
      </c>
      <c r="G6" s="5">
        <v>9</v>
      </c>
      <c r="H6" s="7">
        <v>497.61</v>
      </c>
      <c r="I6" s="1">
        <f>C19/(C19+C29)*H6</f>
        <v>217.704375</v>
      </c>
      <c r="J6" s="1">
        <f>H6-I6</f>
        <v>279.905625</v>
      </c>
      <c r="Q6" t="s">
        <v>12</v>
      </c>
      <c r="R6" s="1">
        <f>K5</f>
        <v>199.026666666667</v>
      </c>
      <c r="S6">
        <f>I9</f>
        <v>734.58</v>
      </c>
    </row>
    <row r="7" ht="14.25" spans="1:19">
      <c r="A7" s="8" t="s">
        <v>121</v>
      </c>
      <c r="B7" s="9" t="s">
        <v>122</v>
      </c>
      <c r="C7" s="9" t="s">
        <v>123</v>
      </c>
      <c r="D7" s="9" t="s">
        <v>124</v>
      </c>
      <c r="E7" s="9" t="s">
        <v>53</v>
      </c>
      <c r="F7" s="9" t="s">
        <v>97</v>
      </c>
      <c r="G7" s="9">
        <v>3</v>
      </c>
      <c r="H7" s="7">
        <v>600</v>
      </c>
      <c r="I7" s="18">
        <v>600</v>
      </c>
      <c r="Q7" t="s">
        <v>23</v>
      </c>
      <c r="R7" s="1">
        <f>L5</f>
        <v>162.84</v>
      </c>
      <c r="S7">
        <f>J9</f>
        <v>601.02</v>
      </c>
    </row>
    <row r="8" ht="14.25" spans="1:19">
      <c r="A8" s="10" t="s">
        <v>125</v>
      </c>
      <c r="B8" s="10" t="s">
        <v>126</v>
      </c>
      <c r="C8" s="10" t="s">
        <v>127</v>
      </c>
      <c r="D8" s="10">
        <v>185</v>
      </c>
      <c r="E8" s="10" t="s">
        <v>53</v>
      </c>
      <c r="F8" s="11" t="s">
        <v>93</v>
      </c>
      <c r="G8" s="10">
        <v>13</v>
      </c>
      <c r="H8" s="7">
        <v>370</v>
      </c>
      <c r="I8" s="18">
        <v>370</v>
      </c>
      <c r="Q8" t="s">
        <v>97</v>
      </c>
      <c r="S8" s="1">
        <f>I7</f>
        <v>600</v>
      </c>
    </row>
    <row r="9" ht="28.5" spans="1:19">
      <c r="A9" s="10"/>
      <c r="B9" s="10" t="s">
        <v>128</v>
      </c>
      <c r="C9" s="10" t="s">
        <v>129</v>
      </c>
      <c r="D9" s="10">
        <v>477</v>
      </c>
      <c r="E9" s="10" t="s">
        <v>53</v>
      </c>
      <c r="F9" s="11" t="s">
        <v>130</v>
      </c>
      <c r="G9" s="10">
        <v>4</v>
      </c>
      <c r="H9" s="7">
        <v>1335.6</v>
      </c>
      <c r="I9" s="1">
        <f>C15/(C15+C26)*H9</f>
        <v>734.58</v>
      </c>
      <c r="J9" s="1">
        <f>H9-I9</f>
        <v>601.02</v>
      </c>
      <c r="Q9" t="s">
        <v>93</v>
      </c>
      <c r="R9" s="1"/>
      <c r="S9">
        <f>I8</f>
        <v>370</v>
      </c>
    </row>
    <row r="14" ht="14.25" spans="2:4">
      <c r="B14" s="12" t="s">
        <v>16</v>
      </c>
      <c r="C14" s="12">
        <v>1.3</v>
      </c>
      <c r="D14" s="12" t="s">
        <v>81</v>
      </c>
    </row>
    <row r="15" ht="14.25" spans="2:4">
      <c r="B15" s="13" t="s">
        <v>12</v>
      </c>
      <c r="C15" s="14">
        <v>1.1</v>
      </c>
      <c r="D15" s="12" t="s">
        <v>82</v>
      </c>
    </row>
    <row r="16" ht="14.25" spans="2:4">
      <c r="B16" s="13" t="s">
        <v>83</v>
      </c>
      <c r="C16" s="15">
        <v>0.9</v>
      </c>
      <c r="D16" s="12" t="s">
        <v>84</v>
      </c>
    </row>
    <row r="17" ht="14.25" spans="2:4">
      <c r="B17" s="13" t="s">
        <v>85</v>
      </c>
      <c r="C17" s="15">
        <v>0.7</v>
      </c>
      <c r="D17" s="12" t="s">
        <v>86</v>
      </c>
    </row>
    <row r="18" ht="14.25" spans="2:4">
      <c r="B18" s="16" t="s">
        <v>87</v>
      </c>
      <c r="C18" s="15">
        <v>0.9</v>
      </c>
      <c r="D18" s="12" t="s">
        <v>84</v>
      </c>
    </row>
    <row r="19" ht="14.25" spans="2:4">
      <c r="B19" s="16" t="s">
        <v>89</v>
      </c>
      <c r="C19" s="15">
        <v>0.7</v>
      </c>
      <c r="D19" s="12" t="s">
        <v>86</v>
      </c>
    </row>
    <row r="20" ht="14.25" spans="2:4">
      <c r="B20" s="16" t="s">
        <v>90</v>
      </c>
      <c r="C20" s="15">
        <v>0.9</v>
      </c>
      <c r="D20" s="12" t="s">
        <v>84</v>
      </c>
    </row>
    <row r="21" ht="14.25" spans="2:4">
      <c r="B21" s="16" t="s">
        <v>91</v>
      </c>
      <c r="C21" s="15">
        <v>0.9</v>
      </c>
      <c r="D21" s="12" t="s">
        <v>84</v>
      </c>
    </row>
    <row r="22" ht="14.25" spans="2:4">
      <c r="B22" s="12" t="s">
        <v>93</v>
      </c>
      <c r="C22" s="15">
        <v>0.7</v>
      </c>
      <c r="D22" s="12" t="s">
        <v>86</v>
      </c>
    </row>
    <row r="23" ht="14.25" spans="2:4">
      <c r="B23" s="12" t="s">
        <v>20</v>
      </c>
      <c r="C23" s="15">
        <v>0.9</v>
      </c>
      <c r="D23" s="12" t="s">
        <v>84</v>
      </c>
    </row>
    <row r="24" ht="14.25" spans="2:4">
      <c r="B24" s="12" t="s">
        <v>95</v>
      </c>
      <c r="C24" s="17">
        <v>0.7</v>
      </c>
      <c r="D24" s="12" t="s">
        <v>86</v>
      </c>
    </row>
    <row r="25" ht="14.25" spans="2:4">
      <c r="B25" s="12" t="s">
        <v>97</v>
      </c>
      <c r="C25" s="14">
        <v>1.1</v>
      </c>
      <c r="D25" s="12" t="s">
        <v>82</v>
      </c>
    </row>
    <row r="26" ht="14.25" spans="2:4">
      <c r="B26" s="12" t="s">
        <v>23</v>
      </c>
      <c r="C26" s="15">
        <v>0.9</v>
      </c>
      <c r="D26" s="12" t="s">
        <v>84</v>
      </c>
    </row>
    <row r="27" ht="14.25" spans="2:4">
      <c r="B27" s="12" t="s">
        <v>98</v>
      </c>
      <c r="C27" s="12">
        <v>0.9</v>
      </c>
      <c r="D27" s="12" t="s">
        <v>84</v>
      </c>
    </row>
    <row r="28" ht="14.25" spans="2:4">
      <c r="B28" s="12" t="s">
        <v>99</v>
      </c>
      <c r="C28" s="15">
        <v>0.7</v>
      </c>
      <c r="D28" s="12" t="s">
        <v>86</v>
      </c>
    </row>
    <row r="29" ht="14.25" spans="2:4">
      <c r="B29" s="12" t="s">
        <v>100</v>
      </c>
      <c r="C29" s="12">
        <v>0.9</v>
      </c>
      <c r="D29" s="12" t="s">
        <v>84</v>
      </c>
    </row>
    <row r="30" ht="14.25" spans="2:4">
      <c r="B30" s="12" t="s">
        <v>101</v>
      </c>
      <c r="C30" s="15">
        <v>0.7</v>
      </c>
      <c r="D30" s="12" t="s">
        <v>86</v>
      </c>
    </row>
    <row r="31" ht="14.25" spans="2:4">
      <c r="B31" s="12" t="s">
        <v>26</v>
      </c>
      <c r="C31" s="15">
        <v>0.7</v>
      </c>
      <c r="D31" s="12" t="s">
        <v>86</v>
      </c>
    </row>
    <row r="32" ht="14.25" spans="2:4">
      <c r="B32" s="12" t="s">
        <v>102</v>
      </c>
      <c r="C32" s="15">
        <v>0.7</v>
      </c>
      <c r="D32" s="12" t="s">
        <v>86</v>
      </c>
    </row>
    <row r="33" ht="14.25" spans="2:4">
      <c r="B33" s="12" t="s">
        <v>96</v>
      </c>
      <c r="C33" s="15">
        <v>0.7</v>
      </c>
      <c r="D33" s="12" t="s">
        <v>86</v>
      </c>
    </row>
    <row r="34" ht="14.25" spans="2:4">
      <c r="B34" s="12" t="s">
        <v>34</v>
      </c>
      <c r="C34" s="15">
        <v>0.7</v>
      </c>
      <c r="D34" s="12" t="s">
        <v>86</v>
      </c>
    </row>
    <row r="35" ht="14.25" spans="2:4">
      <c r="B35" s="12" t="s">
        <v>30</v>
      </c>
      <c r="C35" s="15">
        <v>0.7</v>
      </c>
      <c r="D35" s="12" t="s">
        <v>86</v>
      </c>
    </row>
  </sheetData>
  <mergeCells count="2">
    <mergeCell ref="A2:A6"/>
    <mergeCell ref="A8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核算</vt:lpstr>
      <vt:lpstr>项目明细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一条小咸鱼</cp:lastModifiedBy>
  <dcterms:created xsi:type="dcterms:W3CDTF">2025-02-06T13:44:00Z</dcterms:created>
  <dcterms:modified xsi:type="dcterms:W3CDTF">2025-02-27T10:08:48Z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32D86B103E59B3F9414CA467F654492C_41</vt:lpwstr>
  </property>
  <property fmtid="{D5CDD505-2E9C-101B-9397-08002B2CF9AE}" pid="3" name="KSOProductBuildVer">
    <vt:lpwstr>2052-12.1.0.20305</vt:lpwstr>
  </property>
</Properties>
</file>